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3913C3E-7E97-40EF-8773-7D20E87AA8F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281" i="1"/>
  <c r="N282" i="1"/>
  <c r="N283" i="1"/>
  <c r="N284" i="1"/>
  <c r="N285" i="1"/>
  <c r="N286" i="1"/>
  <c r="N287" i="1"/>
  <c r="N288" i="1"/>
  <c r="N289" i="1"/>
  <c r="N290" i="1"/>
  <c r="L352" i="1"/>
  <c r="P352" i="1"/>
  <c r="L353" i="1"/>
  <c r="P353" i="1"/>
  <c r="L354" i="1"/>
  <c r="P354" i="1"/>
  <c r="L355" i="1"/>
  <c r="P355" i="1"/>
  <c r="L356" i="1"/>
  <c r="P356" i="1"/>
  <c r="L357" i="1"/>
  <c r="P357" i="1"/>
  <c r="L358" i="1"/>
  <c r="P358" i="1"/>
  <c r="L359" i="1"/>
  <c r="P359" i="1"/>
  <c r="L360" i="1"/>
  <c r="P360" i="1"/>
  <c r="L361" i="1"/>
  <c r="P361" i="1"/>
  <c r="L362" i="1"/>
  <c r="P362" i="1"/>
  <c r="L363" i="1"/>
  <c r="P363" i="1"/>
  <c r="L364" i="1"/>
  <c r="P364" i="1"/>
  <c r="L365" i="1"/>
  <c r="P365" i="1"/>
  <c r="N253" i="1"/>
  <c r="N254" i="1"/>
  <c r="N255" i="1"/>
  <c r="N256" i="1"/>
  <c r="N257" i="1"/>
  <c r="N258" i="1"/>
  <c r="N259" i="1"/>
  <c r="N260" i="1"/>
  <c r="N261" i="1"/>
  <c r="N262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800" i="1"/>
  <c r="F1739" i="1"/>
  <c r="F1806" i="1"/>
  <c r="F1733" i="1"/>
  <c r="F1805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9" i="1" l="1"/>
  <c r="F1719" i="1"/>
  <c r="F1780" i="1" l="1"/>
  <c r="F1773" i="1"/>
  <c r="F1768" i="1"/>
  <c r="F1764" i="1"/>
  <c r="F1748" i="1"/>
  <c r="F1740" i="1"/>
  <c r="F1767" i="1"/>
  <c r="F1751" i="1"/>
  <c r="F1711" i="1"/>
  <c r="F1807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4" i="1"/>
  <c r="F1722" i="1"/>
  <c r="F1734" i="1"/>
  <c r="F1752" i="1"/>
  <c r="F1735" i="1"/>
  <c r="F1723" i="1"/>
  <c r="F1808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5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98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3" i="1"/>
  <c r="F1802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2" i="15" s="1"/>
  <c r="E617" i="15"/>
  <c r="W665" i="15" s="1"/>
  <c r="E616" i="15"/>
  <c r="W668" i="15" s="1"/>
  <c r="F620" i="15"/>
  <c r="W661" i="15" s="1"/>
  <c r="F616" i="15"/>
  <c r="W666" i="15" s="1"/>
  <c r="F618" i="15"/>
  <c r="W664" i="15" s="1"/>
  <c r="F619" i="15"/>
  <c r="W659" i="15" s="1"/>
  <c r="F617" i="15"/>
  <c r="W660" i="15" s="1"/>
  <c r="E560" i="15"/>
  <c r="E559" i="15"/>
  <c r="W604" i="15" s="1"/>
  <c r="E558" i="15"/>
  <c r="W606" i="15" s="1"/>
  <c r="E557" i="15"/>
  <c r="W605" i="15" s="1"/>
  <c r="E556" i="15"/>
  <c r="W608" i="15" s="1"/>
  <c r="F560" i="15"/>
  <c r="F556" i="15"/>
  <c r="F558" i="15"/>
  <c r="F559" i="15"/>
  <c r="F557" i="15"/>
  <c r="W601" i="15" s="1"/>
  <c r="E500" i="15"/>
  <c r="W545" i="15" s="1"/>
  <c r="E499" i="15"/>
  <c r="W546" i="15" s="1"/>
  <c r="E498" i="15"/>
  <c r="W548" i="15" s="1"/>
  <c r="E497" i="15"/>
  <c r="W539" i="15" s="1"/>
  <c r="E496" i="15"/>
  <c r="W547" i="15" s="1"/>
  <c r="F500" i="15"/>
  <c r="W540" i="15" s="1"/>
  <c r="F496" i="15"/>
  <c r="W544" i="15" s="1"/>
  <c r="F498" i="15"/>
  <c r="W543" i="15" s="1"/>
  <c r="F499" i="15"/>
  <c r="W541" i="15" s="1"/>
  <c r="F497" i="15"/>
  <c r="W542" i="15" s="1"/>
  <c r="E440" i="15"/>
  <c r="W481" i="15" s="1"/>
  <c r="E439" i="15"/>
  <c r="W479" i="15" s="1"/>
  <c r="E438" i="15"/>
  <c r="W482" i="15" s="1"/>
  <c r="E437" i="15"/>
  <c r="W483" i="15" s="1"/>
  <c r="E436" i="15"/>
  <c r="W486" i="15" s="1"/>
  <c r="F440" i="15"/>
  <c r="W485" i="15" s="1"/>
  <c r="F436" i="15"/>
  <c r="W488" i="15" s="1"/>
  <c r="F438" i="15"/>
  <c r="W480" i="15" s="1"/>
  <c r="F439" i="15"/>
  <c r="W487" i="15" s="1"/>
  <c r="F437" i="15"/>
  <c r="W484" i="15" s="1"/>
  <c r="E380" i="15"/>
  <c r="W426" i="15" s="1"/>
  <c r="E379" i="15"/>
  <c r="W419" i="15" s="1"/>
  <c r="E378" i="15"/>
  <c r="W420" i="15" s="1"/>
  <c r="E377" i="15"/>
  <c r="W427" i="15" s="1"/>
  <c r="E376" i="15"/>
  <c r="W428" i="15" s="1"/>
  <c r="F380" i="15"/>
  <c r="W422" i="15" s="1"/>
  <c r="F376" i="15"/>
  <c r="W425" i="15" s="1"/>
  <c r="F378" i="15"/>
  <c r="W421" i="15" s="1"/>
  <c r="F379" i="15"/>
  <c r="W423" i="15" s="1"/>
  <c r="F377" i="15"/>
  <c r="W424" i="15" s="1"/>
  <c r="E320" i="15"/>
  <c r="W366" i="15" s="1"/>
  <c r="E319" i="15"/>
  <c r="W359" i="15" s="1"/>
  <c r="E318" i="15"/>
  <c r="W361" i="15" s="1"/>
  <c r="E317" i="15"/>
  <c r="W362" i="15" s="1"/>
  <c r="E316" i="15"/>
  <c r="W364" i="15" s="1"/>
  <c r="F320" i="15"/>
  <c r="W367" i="15" s="1"/>
  <c r="F316" i="15"/>
  <c r="W368" i="15" s="1"/>
  <c r="F318" i="15"/>
  <c r="W360" i="15" s="1"/>
  <c r="F319" i="15"/>
  <c r="W365" i="15" s="1"/>
  <c r="F317" i="15"/>
  <c r="W363" i="15" s="1"/>
  <c r="E260" i="15"/>
  <c r="W301" i="15" s="1"/>
  <c r="E259" i="15"/>
  <c r="W307" i="15" s="1"/>
  <c r="E258" i="15"/>
  <c r="W302" i="15" s="1"/>
  <c r="E257" i="15"/>
  <c r="W305" i="15" s="1"/>
  <c r="E256" i="15"/>
  <c r="W308" i="15" s="1"/>
  <c r="F260" i="15"/>
  <c r="W304" i="15" s="1"/>
  <c r="F256" i="15"/>
  <c r="W306" i="15" s="1"/>
  <c r="F257" i="15"/>
  <c r="W300" i="15" s="1"/>
  <c r="F258" i="15"/>
  <c r="W299" i="15" s="1"/>
  <c r="F259" i="15"/>
  <c r="W303" i="15" s="1"/>
  <c r="E200" i="15"/>
  <c r="W241" i="15" s="1"/>
  <c r="E199" i="15"/>
  <c r="W248" i="15" s="1"/>
  <c r="E198" i="15"/>
  <c r="W243" i="15" s="1"/>
  <c r="E197" i="15"/>
  <c r="W246" i="15" s="1"/>
  <c r="E196" i="15"/>
  <c r="W240" i="15" s="1"/>
  <c r="F200" i="15"/>
  <c r="W247" i="15" s="1"/>
  <c r="F196" i="15"/>
  <c r="W244" i="15" s="1"/>
  <c r="F198" i="15"/>
  <c r="W242" i="15" s="1"/>
  <c r="F199" i="15"/>
  <c r="W245" i="15" s="1"/>
  <c r="F197" i="15"/>
  <c r="W239" i="15" s="1"/>
  <c r="F140" i="15"/>
  <c r="W181" i="15" s="1"/>
  <c r="F139" i="15"/>
  <c r="W188" i="15" s="1"/>
  <c r="F138" i="15"/>
  <c r="W187" i="15" s="1"/>
  <c r="F137" i="15"/>
  <c r="W183" i="15" s="1"/>
  <c r="F136" i="15"/>
  <c r="W185" i="15" s="1"/>
  <c r="E140" i="15"/>
  <c r="W186" i="15" s="1"/>
  <c r="E139" i="15"/>
  <c r="W180" i="15" s="1"/>
  <c r="E138" i="15"/>
  <c r="W184" i="15" s="1"/>
  <c r="E137" i="15"/>
  <c r="W179" i="15" s="1"/>
  <c r="E136" i="15"/>
  <c r="W182" i="15" s="1"/>
  <c r="F80" i="15"/>
  <c r="W119" i="15" s="1"/>
  <c r="F79" i="15"/>
  <c r="W126" i="15" s="1"/>
  <c r="F78" i="15"/>
  <c r="W120" i="15" s="1"/>
  <c r="F77" i="15"/>
  <c r="W124" i="15" s="1"/>
  <c r="F76" i="15"/>
  <c r="W127" i="15" s="1"/>
  <c r="E80" i="15"/>
  <c r="W128" i="15" s="1"/>
  <c r="E79" i="15"/>
  <c r="W123" i="15" s="1"/>
  <c r="E78" i="15"/>
  <c r="W125" i="15" s="1"/>
  <c r="E77" i="15"/>
  <c r="W121" i="15" s="1"/>
  <c r="E76" i="15"/>
  <c r="W122" i="15" s="1"/>
  <c r="F1738" i="1"/>
  <c r="F1713" i="1"/>
  <c r="F1783" i="1"/>
  <c r="F1793" i="1"/>
  <c r="F1746" i="1"/>
  <c r="F1797" i="1"/>
  <c r="F1801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0" i="15" l="1"/>
  <c r="W607" i="15"/>
  <c r="W599" i="15"/>
  <c r="W603" i="15"/>
  <c r="W602" i="15"/>
  <c r="B104" i="5"/>
  <c r="E343" i="1" s="1"/>
  <c r="B99" i="5"/>
  <c r="E328" i="1" s="1"/>
  <c r="B91" i="5"/>
  <c r="E316" i="1" s="1"/>
  <c r="B88" i="5"/>
  <c r="E321" i="1" s="1"/>
  <c r="B86" i="5"/>
  <c r="E331" i="1" s="1"/>
  <c r="B84" i="5"/>
  <c r="E333" i="1" s="1"/>
  <c r="B77" i="5"/>
  <c r="E323" i="1" s="1"/>
  <c r="B72" i="5"/>
  <c r="E317" i="1" s="1"/>
  <c r="B61" i="5"/>
  <c r="E326" i="1" s="1"/>
  <c r="B60" i="5"/>
  <c r="E315" i="1" s="1"/>
  <c r="B56" i="5"/>
  <c r="E314" i="1" s="1"/>
  <c r="B54" i="5"/>
  <c r="E337" i="1" s="1"/>
  <c r="B48" i="5"/>
  <c r="E318" i="1" s="1"/>
  <c r="B46" i="5"/>
  <c r="E344" i="1" s="1"/>
  <c r="B45" i="5"/>
  <c r="E320" i="1" s="1"/>
  <c r="B44" i="5"/>
  <c r="E329" i="1" s="1"/>
  <c r="B39" i="5"/>
  <c r="E324" i="1" s="1"/>
  <c r="B34" i="5"/>
  <c r="E335" i="1" s="1"/>
  <c r="B29" i="5"/>
  <c r="E338" i="1" s="1"/>
  <c r="B25" i="5"/>
  <c r="E312" i="1" s="1"/>
  <c r="B24" i="5"/>
  <c r="E327" i="1" s="1"/>
  <c r="B21" i="5"/>
  <c r="E342" i="1" s="1"/>
  <c r="B15" i="5"/>
  <c r="E313" i="1" s="1"/>
  <c r="B12" i="5"/>
  <c r="E330" i="1" s="1"/>
  <c r="B100" i="5"/>
  <c r="E325" i="1" s="1"/>
  <c r="B67" i="5"/>
  <c r="E319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81" i="1" s="1"/>
  <c r="D714" i="4"/>
  <c r="T580" i="1" s="1"/>
  <c r="D713" i="4"/>
  <c r="T579" i="1" s="1"/>
  <c r="D712" i="4"/>
  <c r="T578" i="1" s="1"/>
  <c r="D711" i="4"/>
  <c r="T577" i="1" s="1"/>
  <c r="D710" i="4"/>
  <c r="T576" i="1" s="1"/>
  <c r="D709" i="4"/>
  <c r="T575" i="1" s="1"/>
  <c r="D708" i="4"/>
  <c r="T574" i="1" s="1"/>
  <c r="D707" i="4"/>
  <c r="D706" i="4"/>
  <c r="T572" i="1" s="1"/>
  <c r="D705" i="4"/>
  <c r="T571" i="1" s="1"/>
  <c r="D704" i="4"/>
  <c r="T570" i="1" s="1"/>
  <c r="D703" i="4"/>
  <c r="T569" i="1" s="1"/>
  <c r="D702" i="4"/>
  <c r="T568" i="1" s="1"/>
  <c r="D701" i="4"/>
  <c r="D700" i="4"/>
  <c r="D699" i="4"/>
  <c r="D698" i="4"/>
  <c r="D697" i="4"/>
  <c r="T563" i="1" s="1"/>
  <c r="D696" i="4"/>
  <c r="T562" i="1" s="1"/>
  <c r="D695" i="4"/>
  <c r="T561" i="1" s="1"/>
  <c r="D694" i="4"/>
  <c r="T560" i="1" s="1"/>
  <c r="D693" i="4"/>
  <c r="D692" i="4"/>
  <c r="T558" i="1" s="1"/>
  <c r="D691" i="4"/>
  <c r="D690" i="4"/>
  <c r="T556" i="1" s="1"/>
  <c r="D689" i="4"/>
  <c r="T555" i="1" s="1"/>
  <c r="D688" i="4"/>
  <c r="T494" i="1" s="1"/>
  <c r="D687" i="4"/>
  <c r="T554" i="1" s="1"/>
  <c r="D686" i="4"/>
  <c r="T553" i="1" s="1"/>
  <c r="D685" i="4"/>
  <c r="D684" i="4"/>
  <c r="D683" i="4"/>
  <c r="T550" i="1" s="1"/>
  <c r="D682" i="4"/>
  <c r="T549" i="1" s="1"/>
  <c r="D681" i="4"/>
  <c r="T548" i="1" s="1"/>
  <c r="D680" i="4"/>
  <c r="T547" i="1" s="1"/>
  <c r="D679" i="4"/>
  <c r="T546" i="1" s="1"/>
  <c r="D678" i="4"/>
  <c r="T545" i="1" s="1"/>
  <c r="D677" i="4"/>
  <c r="D676" i="4"/>
  <c r="T544" i="1" s="1"/>
  <c r="D675" i="4"/>
  <c r="T543" i="1" s="1"/>
  <c r="D674" i="4"/>
  <c r="D673" i="4"/>
  <c r="T541" i="1" s="1"/>
  <c r="D672" i="4"/>
  <c r="D671" i="4"/>
  <c r="T539" i="1" s="1"/>
  <c r="D670" i="4"/>
  <c r="T538" i="1" s="1"/>
  <c r="D669" i="4"/>
  <c r="D668" i="4"/>
  <c r="T536" i="1" s="1"/>
  <c r="D667" i="4"/>
  <c r="T535" i="1" s="1"/>
  <c r="D666" i="4"/>
  <c r="T534" i="1" s="1"/>
  <c r="D665" i="4"/>
  <c r="T533" i="1" s="1"/>
  <c r="D664" i="4"/>
  <c r="D663" i="4"/>
  <c r="T531" i="1" s="1"/>
  <c r="D662" i="4"/>
  <c r="T530" i="1" s="1"/>
  <c r="D661" i="4"/>
  <c r="D660" i="4"/>
  <c r="T528" i="1" s="1"/>
  <c r="D659" i="4"/>
  <c r="T527" i="1" s="1"/>
  <c r="D658" i="4"/>
  <c r="T526" i="1" s="1"/>
  <c r="D657" i="4"/>
  <c r="T525" i="1" s="1"/>
  <c r="D656" i="4"/>
  <c r="T524" i="1" s="1"/>
  <c r="D655" i="4"/>
  <c r="T523" i="1" s="1"/>
  <c r="D654" i="4"/>
  <c r="T522" i="1" s="1"/>
  <c r="D653" i="4"/>
  <c r="T521" i="1" s="1"/>
  <c r="D652" i="4"/>
  <c r="T520" i="1" s="1"/>
  <c r="D651" i="4"/>
  <c r="T519" i="1" s="1"/>
  <c r="D650" i="4"/>
  <c r="T518" i="1" s="1"/>
  <c r="D649" i="4"/>
  <c r="T517" i="1" s="1"/>
  <c r="D648" i="4"/>
  <c r="T516" i="1" s="1"/>
  <c r="D647" i="4"/>
  <c r="T515" i="1" s="1"/>
  <c r="D646" i="4"/>
  <c r="T514" i="1" s="1"/>
  <c r="D645" i="4"/>
  <c r="T513" i="1" s="1"/>
  <c r="D644" i="4"/>
  <c r="T512" i="1" s="1"/>
  <c r="D643" i="4"/>
  <c r="T511" i="1" s="1"/>
  <c r="D642" i="4"/>
  <c r="T510" i="1" s="1"/>
  <c r="D641" i="4"/>
  <c r="T509" i="1" s="1"/>
  <c r="D640" i="4"/>
  <c r="T508" i="1" s="1"/>
  <c r="D639" i="4"/>
  <c r="T507" i="1" s="1"/>
  <c r="D638" i="4"/>
  <c r="T506" i="1" s="1"/>
  <c r="D637" i="4"/>
  <c r="T505" i="1" s="1"/>
  <c r="D636" i="4"/>
  <c r="T504" i="1" s="1"/>
  <c r="D635" i="4"/>
  <c r="T503" i="1" s="1"/>
  <c r="D634" i="4"/>
  <c r="D633" i="4"/>
  <c r="T501" i="1" s="1"/>
  <c r="D632" i="4"/>
  <c r="T500" i="1" s="1"/>
  <c r="D631" i="4"/>
  <c r="T499" i="1" s="1"/>
  <c r="D630" i="4"/>
  <c r="T498" i="1" s="1"/>
  <c r="D629" i="4"/>
  <c r="T497" i="1" s="1"/>
  <c r="D624" i="4"/>
  <c r="P520" i="1" s="1"/>
  <c r="D623" i="4"/>
  <c r="P590" i="1" s="1"/>
  <c r="D622" i="4"/>
  <c r="P533" i="1" s="1"/>
  <c r="D621" i="4"/>
  <c r="P495" i="1" s="1"/>
  <c r="D620" i="4"/>
  <c r="P498" i="1" s="1"/>
  <c r="D619" i="4"/>
  <c r="P560" i="1" s="1"/>
  <c r="D618" i="4"/>
  <c r="P583" i="1" s="1"/>
  <c r="D617" i="4"/>
  <c r="P567" i="1" s="1"/>
  <c r="D616" i="4"/>
  <c r="P546" i="1" s="1"/>
  <c r="D615" i="4"/>
  <c r="P549" i="1" s="1"/>
  <c r="D614" i="4"/>
  <c r="P518" i="1" s="1"/>
  <c r="D613" i="4"/>
  <c r="P496" i="1" s="1"/>
  <c r="D612" i="4"/>
  <c r="P574" i="1" s="1"/>
  <c r="D611" i="4"/>
  <c r="P535" i="1" s="1"/>
  <c r="D610" i="4"/>
  <c r="P570" i="1" s="1"/>
  <c r="D609" i="4"/>
  <c r="P524" i="1" s="1"/>
  <c r="D608" i="4"/>
  <c r="P537" i="1" s="1"/>
  <c r="D607" i="4"/>
  <c r="P532" i="1" s="1"/>
  <c r="D606" i="4"/>
  <c r="P584" i="1" s="1"/>
  <c r="D605" i="4"/>
  <c r="P551" i="1" s="1"/>
  <c r="D604" i="4"/>
  <c r="P514" i="1" s="1"/>
  <c r="D603" i="4"/>
  <c r="P593" i="1" s="1"/>
  <c r="D602" i="4"/>
  <c r="P543" i="1" s="1"/>
  <c r="D601" i="4"/>
  <c r="P592" i="1" s="1"/>
  <c r="D600" i="4"/>
  <c r="P565" i="1" s="1"/>
  <c r="D599" i="4"/>
  <c r="P497" i="1" s="1"/>
  <c r="D598" i="4"/>
  <c r="P563" i="1" s="1"/>
  <c r="D597" i="4"/>
  <c r="P544" i="1" s="1"/>
  <c r="D596" i="4"/>
  <c r="P588" i="1" s="1"/>
  <c r="D595" i="4"/>
  <c r="P575" i="1" s="1"/>
  <c r="D594" i="4"/>
  <c r="P553" i="1" s="1"/>
  <c r="D593" i="4"/>
  <c r="P521" i="1" s="1"/>
  <c r="D592" i="4"/>
  <c r="P529" i="1" s="1"/>
  <c r="D591" i="4"/>
  <c r="P517" i="1" s="1"/>
  <c r="D590" i="4"/>
  <c r="P573" i="1" s="1"/>
  <c r="D589" i="4"/>
  <c r="P499" i="1" s="1"/>
  <c r="D588" i="4"/>
  <c r="P562" i="1" s="1"/>
  <c r="D587" i="4"/>
  <c r="P501" i="1" s="1"/>
  <c r="D586" i="4"/>
  <c r="P572" i="1" s="1"/>
  <c r="D585" i="4"/>
  <c r="P539" i="1" s="1"/>
  <c r="D584" i="4"/>
  <c r="P515" i="1" s="1"/>
  <c r="D583" i="4"/>
  <c r="P508" i="1" s="1"/>
  <c r="D582" i="4"/>
  <c r="P581" i="1" s="1"/>
  <c r="D581" i="4"/>
  <c r="P513" i="1" s="1"/>
  <c r="D580" i="4"/>
  <c r="P586" i="1" s="1"/>
  <c r="D579" i="4"/>
  <c r="P541" i="1" s="1"/>
  <c r="D578" i="4"/>
  <c r="P527" i="1" s="1"/>
  <c r="D577" i="4"/>
  <c r="P569" i="1" s="1"/>
  <c r="D576" i="4"/>
  <c r="P504" i="1" s="1"/>
  <c r="D575" i="4"/>
  <c r="P531" i="1" s="1"/>
  <c r="D574" i="4"/>
  <c r="P516" i="1" s="1"/>
  <c r="D573" i="4"/>
  <c r="P558" i="1" s="1"/>
  <c r="D572" i="4"/>
  <c r="P536" i="1" s="1"/>
  <c r="D571" i="4"/>
  <c r="P510" i="1" s="1"/>
  <c r="D570" i="4"/>
  <c r="P564" i="1" s="1"/>
  <c r="D569" i="4"/>
  <c r="P523" i="1" s="1"/>
  <c r="D568" i="4"/>
  <c r="P500" i="1" s="1"/>
  <c r="D567" i="4"/>
  <c r="P554" i="1" s="1"/>
  <c r="D566" i="4"/>
  <c r="P556" i="1" s="1"/>
  <c r="D565" i="4"/>
  <c r="P579" i="1" s="1"/>
  <c r="D564" i="4"/>
  <c r="P589" i="1" s="1"/>
  <c r="D563" i="4"/>
  <c r="P503" i="1" s="1"/>
  <c r="D562" i="4"/>
  <c r="P511" i="1" s="1"/>
  <c r="D561" i="4"/>
  <c r="P557" i="1" s="1"/>
  <c r="D560" i="4"/>
  <c r="P519" i="1" s="1"/>
  <c r="D559" i="4"/>
  <c r="P547" i="1" s="1"/>
  <c r="D558" i="4"/>
  <c r="P552" i="1" s="1"/>
  <c r="D557" i="4"/>
  <c r="P542" i="1" s="1"/>
  <c r="D556" i="4"/>
  <c r="P506" i="1" s="1"/>
  <c r="D555" i="4"/>
  <c r="P571" i="1" s="1"/>
  <c r="D554" i="4"/>
  <c r="P540" i="1" s="1"/>
  <c r="D553" i="4"/>
  <c r="P526" i="1" s="1"/>
  <c r="D552" i="4"/>
  <c r="P502" i="1" s="1"/>
  <c r="D551" i="4"/>
  <c r="P577" i="1" s="1"/>
  <c r="D550" i="4"/>
  <c r="P505" i="1" s="1"/>
  <c r="D549" i="4"/>
  <c r="P585" i="1" s="1"/>
  <c r="D548" i="4"/>
  <c r="P566" i="1" s="1"/>
  <c r="D547" i="4"/>
  <c r="P580" i="1" s="1"/>
  <c r="D546" i="4"/>
  <c r="P494" i="1" s="1"/>
  <c r="D545" i="4"/>
  <c r="P530" i="1" s="1"/>
  <c r="D544" i="4"/>
  <c r="P528" i="1" s="1"/>
  <c r="D543" i="4"/>
  <c r="P555" i="1" s="1"/>
  <c r="D542" i="4"/>
  <c r="P507" i="1" s="1"/>
  <c r="D541" i="4"/>
  <c r="P512" i="1" s="1"/>
  <c r="D540" i="4"/>
  <c r="P591" i="1" s="1"/>
  <c r="D539" i="4"/>
  <c r="P548" i="1" s="1"/>
  <c r="D538" i="4"/>
  <c r="P582" i="1" s="1"/>
  <c r="D537" i="4"/>
  <c r="P550" i="1" s="1"/>
  <c r="D536" i="4"/>
  <c r="P578" i="1" s="1"/>
  <c r="D535" i="4"/>
  <c r="P545" i="1" s="1"/>
  <c r="D534" i="4"/>
  <c r="P522" i="1" s="1"/>
  <c r="D533" i="4"/>
  <c r="P559" i="1" s="1"/>
  <c r="D532" i="4"/>
  <c r="P525" i="1" s="1"/>
  <c r="D531" i="4"/>
  <c r="P538" i="1" s="1"/>
  <c r="D530" i="4"/>
  <c r="P509" i="1" s="1"/>
  <c r="D529" i="4"/>
  <c r="P587" i="1" s="1"/>
  <c r="D528" i="4"/>
  <c r="P568" i="1" s="1"/>
  <c r="D527" i="4"/>
  <c r="P561" i="1" s="1"/>
  <c r="D526" i="4"/>
  <c r="P534" i="1" s="1"/>
  <c r="D525" i="4"/>
  <c r="P576" i="1" s="1"/>
  <c r="D520" i="4"/>
  <c r="AF516" i="1" s="1"/>
  <c r="D519" i="4"/>
  <c r="AF506" i="1" s="1"/>
  <c r="D518" i="4"/>
  <c r="AF572" i="1" s="1"/>
  <c r="D517" i="4"/>
  <c r="AF560" i="1" s="1"/>
  <c r="D516" i="4"/>
  <c r="AF537" i="1" s="1"/>
  <c r="D515" i="4"/>
  <c r="AF584" i="1" s="1"/>
  <c r="D514" i="4"/>
  <c r="AF536" i="1" s="1"/>
  <c r="D513" i="4"/>
  <c r="AF593" i="1" s="1"/>
  <c r="D512" i="4"/>
  <c r="AF545" i="1" s="1"/>
  <c r="D511" i="4"/>
  <c r="AF498" i="1" s="1"/>
  <c r="D510" i="4"/>
  <c r="AF518" i="1" s="1"/>
  <c r="D509" i="4"/>
  <c r="AF500" i="1" s="1"/>
  <c r="D508" i="4"/>
  <c r="AF577" i="1" s="1"/>
  <c r="D507" i="4"/>
  <c r="AF541" i="1" s="1"/>
  <c r="D506" i="4"/>
  <c r="AF497" i="1" s="1"/>
  <c r="D505" i="4"/>
  <c r="AF495" i="1" s="1"/>
  <c r="D504" i="4"/>
  <c r="AF542" i="1" s="1"/>
  <c r="D503" i="4"/>
  <c r="AF520" i="1" s="1"/>
  <c r="D502" i="4"/>
  <c r="AF543" i="1" s="1"/>
  <c r="D501" i="4"/>
  <c r="AF573" i="1" s="1"/>
  <c r="D500" i="4"/>
  <c r="AF546" i="1" s="1"/>
  <c r="D499" i="4"/>
  <c r="AF544" i="1" s="1"/>
  <c r="D498" i="4"/>
  <c r="AF532" i="1" s="1"/>
  <c r="D497" i="4"/>
  <c r="AF568" i="1" s="1"/>
  <c r="D496" i="4"/>
  <c r="AF588" i="1" s="1"/>
  <c r="D495" i="4"/>
  <c r="AF503" i="1" s="1"/>
  <c r="D494" i="4"/>
  <c r="AF556" i="1" s="1"/>
  <c r="D493" i="4"/>
  <c r="AF565" i="1" s="1"/>
  <c r="D492" i="4"/>
  <c r="AF591" i="1" s="1"/>
  <c r="D491" i="4"/>
  <c r="AF557" i="1" s="1"/>
  <c r="D490" i="4"/>
  <c r="AF521" i="1" s="1"/>
  <c r="D489" i="4"/>
  <c r="AF555" i="1" s="1"/>
  <c r="D488" i="4"/>
  <c r="AF578" i="1" s="1"/>
  <c r="D487" i="4"/>
  <c r="AF494" i="1" s="1"/>
  <c r="D486" i="4"/>
  <c r="AF512" i="1" s="1"/>
  <c r="D485" i="4"/>
  <c r="AF524" i="1" s="1"/>
  <c r="D484" i="4"/>
  <c r="AF585" i="1" s="1"/>
  <c r="D483" i="4"/>
  <c r="AF582" i="1" s="1"/>
  <c r="D482" i="4"/>
  <c r="AF570" i="1" s="1"/>
  <c r="D481" i="4"/>
  <c r="AF496" i="1" s="1"/>
  <c r="D480" i="4"/>
  <c r="AF534" i="1" s="1"/>
  <c r="D479" i="4"/>
  <c r="AF508" i="1" s="1"/>
  <c r="D478" i="4"/>
  <c r="AF526" i="1" s="1"/>
  <c r="D477" i="4"/>
  <c r="AF549" i="1" s="1"/>
  <c r="D476" i="4"/>
  <c r="AF587" i="1" s="1"/>
  <c r="D475" i="4"/>
  <c r="AF525" i="1" s="1"/>
  <c r="D474" i="4"/>
  <c r="AF510" i="1" s="1"/>
  <c r="D473" i="4"/>
  <c r="AF575" i="1" s="1"/>
  <c r="D472" i="4"/>
  <c r="AF499" i="1" s="1"/>
  <c r="D471" i="4"/>
  <c r="AF535" i="1" s="1"/>
  <c r="D470" i="4"/>
  <c r="AF571" i="1" s="1"/>
  <c r="D469" i="4"/>
  <c r="AF563" i="1" s="1"/>
  <c r="D468" i="4"/>
  <c r="AF530" i="1" s="1"/>
  <c r="D467" i="4"/>
  <c r="AF522" i="1" s="1"/>
  <c r="D466" i="4"/>
  <c r="AF513" i="1" s="1"/>
  <c r="D465" i="4"/>
  <c r="AF502" i="1" s="1"/>
  <c r="D464" i="4"/>
  <c r="AF567" i="1" s="1"/>
  <c r="D463" i="4"/>
  <c r="AF566" i="1" s="1"/>
  <c r="D462" i="4"/>
  <c r="AF509" i="1" s="1"/>
  <c r="D461" i="4"/>
  <c r="AF552" i="1" s="1"/>
  <c r="D460" i="4"/>
  <c r="AF551" i="1" s="1"/>
  <c r="D459" i="4"/>
  <c r="AF533" i="1" s="1"/>
  <c r="D458" i="4"/>
  <c r="AF548" i="1" s="1"/>
  <c r="D457" i="4"/>
  <c r="AF561" i="1" s="1"/>
  <c r="D456" i="4"/>
  <c r="AF583" i="1" s="1"/>
  <c r="D455" i="4"/>
  <c r="AF514" i="1" s="1"/>
  <c r="D454" i="4"/>
  <c r="AF547" i="1" s="1"/>
  <c r="D453" i="4"/>
  <c r="AF569" i="1" s="1"/>
  <c r="D452" i="4"/>
  <c r="AF574" i="1" s="1"/>
  <c r="D451" i="4"/>
  <c r="AF592" i="1" s="1"/>
  <c r="D450" i="4"/>
  <c r="AF519" i="1" s="1"/>
  <c r="D449" i="4"/>
  <c r="AF540" i="1" s="1"/>
  <c r="D448" i="4"/>
  <c r="AF523" i="1" s="1"/>
  <c r="D447" i="4"/>
  <c r="AF501" i="1" s="1"/>
  <c r="D446" i="4"/>
  <c r="AF539" i="1" s="1"/>
  <c r="D445" i="4"/>
  <c r="AF579" i="1" s="1"/>
  <c r="D444" i="4"/>
  <c r="AF558" i="1" s="1"/>
  <c r="D443" i="4"/>
  <c r="AF527" i="1" s="1"/>
  <c r="D442" i="4"/>
  <c r="AF515" i="1" s="1"/>
  <c r="D441" i="4"/>
  <c r="AF550" i="1" s="1"/>
  <c r="D440" i="4"/>
  <c r="AF590" i="1" s="1"/>
  <c r="D439" i="4"/>
  <c r="AF581" i="1" s="1"/>
  <c r="D438" i="4"/>
  <c r="AF507" i="1" s="1"/>
  <c r="D437" i="4"/>
  <c r="AF511" i="1" s="1"/>
  <c r="D436" i="4"/>
  <c r="AF586" i="1" s="1"/>
  <c r="D435" i="4"/>
  <c r="AF553" i="1" s="1"/>
  <c r="D434" i="4"/>
  <c r="AF576" i="1" s="1"/>
  <c r="D433" i="4"/>
  <c r="AF529" i="1" s="1"/>
  <c r="D432" i="4"/>
  <c r="AF531" i="1" s="1"/>
  <c r="D431" i="4"/>
  <c r="AF504" i="1" s="1"/>
  <c r="D430" i="4"/>
  <c r="AF559" i="1" s="1"/>
  <c r="D429" i="4"/>
  <c r="AF554" i="1" s="1"/>
  <c r="D428" i="4"/>
  <c r="AF589" i="1" s="1"/>
  <c r="D427" i="4"/>
  <c r="AF528" i="1" s="1"/>
  <c r="D426" i="4"/>
  <c r="AF538" i="1" s="1"/>
  <c r="D425" i="4"/>
  <c r="AF517" i="1" s="1"/>
  <c r="D424" i="4"/>
  <c r="AF562" i="1" s="1"/>
  <c r="D423" i="4"/>
  <c r="AF505" i="1" s="1"/>
  <c r="D422" i="4"/>
  <c r="AF580" i="1" s="1"/>
  <c r="D421" i="4"/>
  <c r="AF564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12" i="1" s="1"/>
  <c r="D311" i="4"/>
  <c r="AB533" i="1" s="1"/>
  <c r="D310" i="4"/>
  <c r="AB572" i="1" s="1"/>
  <c r="D309" i="4"/>
  <c r="AB517" i="1" s="1"/>
  <c r="D308" i="4"/>
  <c r="AB495" i="1" s="1"/>
  <c r="D307" i="4"/>
  <c r="AB588" i="1" s="1"/>
  <c r="D306" i="4"/>
  <c r="AB566" i="1" s="1"/>
  <c r="D305" i="4"/>
  <c r="AB592" i="1" s="1"/>
  <c r="D304" i="4"/>
  <c r="AB506" i="1" s="1"/>
  <c r="D303" i="4"/>
  <c r="AB531" i="1" s="1"/>
  <c r="D302" i="4"/>
  <c r="AB524" i="1" s="1"/>
  <c r="D301" i="4"/>
  <c r="AB571" i="1" s="1"/>
  <c r="D300" i="4"/>
  <c r="AB579" i="1" s="1"/>
  <c r="D299" i="4"/>
  <c r="AB557" i="1" s="1"/>
  <c r="D298" i="4"/>
  <c r="AB581" i="1" s="1"/>
  <c r="D297" i="4"/>
  <c r="AB496" i="1" s="1"/>
  <c r="D296" i="4"/>
  <c r="AB541" i="1" s="1"/>
  <c r="D295" i="4"/>
  <c r="AB553" i="1" s="1"/>
  <c r="D294" i="4"/>
  <c r="AB567" i="1" s="1"/>
  <c r="D293" i="4"/>
  <c r="AB525" i="1" s="1"/>
  <c r="D292" i="4"/>
  <c r="AB529" i="1" s="1"/>
  <c r="D291" i="4"/>
  <c r="AB511" i="1" s="1"/>
  <c r="D290" i="4"/>
  <c r="AB504" i="1" s="1"/>
  <c r="D289" i="4"/>
  <c r="AB578" i="1" s="1"/>
  <c r="D288" i="4"/>
  <c r="AB543" i="1" s="1"/>
  <c r="D287" i="4"/>
  <c r="AB532" i="1" s="1"/>
  <c r="D286" i="4"/>
  <c r="AB584" i="1" s="1"/>
  <c r="D285" i="4"/>
  <c r="AB548" i="1" s="1"/>
  <c r="D284" i="4"/>
  <c r="AB542" i="1" s="1"/>
  <c r="D283" i="4"/>
  <c r="AB574" i="1" s="1"/>
  <c r="D282" i="4"/>
  <c r="AB536" i="1" s="1"/>
  <c r="D281" i="4"/>
  <c r="AB497" i="1" s="1"/>
  <c r="D280" i="4"/>
  <c r="AB501" i="1" s="1"/>
  <c r="D279" i="4"/>
  <c r="AB507" i="1" s="1"/>
  <c r="D278" i="4"/>
  <c r="AB564" i="1" s="1"/>
  <c r="D277" i="4"/>
  <c r="AB570" i="1" s="1"/>
  <c r="D276" i="4"/>
  <c r="AB583" i="1" s="1"/>
  <c r="D275" i="4"/>
  <c r="AB565" i="1" s="1"/>
  <c r="D274" i="4"/>
  <c r="AB558" i="1" s="1"/>
  <c r="D273" i="4"/>
  <c r="AB510" i="1" s="1"/>
  <c r="D272" i="4"/>
  <c r="AB563" i="1" s="1"/>
  <c r="D271" i="4"/>
  <c r="AB576" i="1" s="1"/>
  <c r="D270" i="4"/>
  <c r="AB587" i="1" s="1"/>
  <c r="D269" i="4"/>
  <c r="AB535" i="1" s="1"/>
  <c r="D268" i="4"/>
  <c r="AB554" i="1" s="1"/>
  <c r="D267" i="4"/>
  <c r="AB526" i="1" s="1"/>
  <c r="D266" i="4"/>
  <c r="AB494" i="1" s="1"/>
  <c r="D265" i="4"/>
  <c r="AB593" i="1" s="1"/>
  <c r="D264" i="4"/>
  <c r="AB530" i="1" s="1"/>
  <c r="D263" i="4"/>
  <c r="AB522" i="1" s="1"/>
  <c r="D262" i="4"/>
  <c r="AB560" i="1" s="1"/>
  <c r="D261" i="4"/>
  <c r="AB589" i="1" s="1"/>
  <c r="D260" i="4"/>
  <c r="AB580" i="1" s="1"/>
  <c r="D259" i="4"/>
  <c r="AB518" i="1" s="1"/>
  <c r="D258" i="4"/>
  <c r="AB540" i="1" s="1"/>
  <c r="D257" i="4"/>
  <c r="AB561" i="1" s="1"/>
  <c r="D256" i="4"/>
  <c r="AB502" i="1" s="1"/>
  <c r="D255" i="4"/>
  <c r="AB573" i="1" s="1"/>
  <c r="D254" i="4"/>
  <c r="AB520" i="1" s="1"/>
  <c r="D253" i="4"/>
  <c r="AB534" i="1" s="1"/>
  <c r="D252" i="4"/>
  <c r="AB513" i="1" s="1"/>
  <c r="D251" i="4"/>
  <c r="AB555" i="1" s="1"/>
  <c r="D250" i="4"/>
  <c r="AB547" i="1" s="1"/>
  <c r="D249" i="4"/>
  <c r="AB527" i="1" s="1"/>
  <c r="D248" i="4"/>
  <c r="AB545" i="1" s="1"/>
  <c r="D247" i="4"/>
  <c r="AB575" i="1" s="1"/>
  <c r="D246" i="4"/>
  <c r="AB556" i="1" s="1"/>
  <c r="D245" i="4"/>
  <c r="AB508" i="1" s="1"/>
  <c r="D244" i="4"/>
  <c r="AB551" i="1" s="1"/>
  <c r="D243" i="4"/>
  <c r="AB562" i="1" s="1"/>
  <c r="D242" i="4"/>
  <c r="AB544" i="1" s="1"/>
  <c r="D241" i="4"/>
  <c r="AB514" i="1" s="1"/>
  <c r="D240" i="4"/>
  <c r="AB519" i="1" s="1"/>
  <c r="D239" i="4"/>
  <c r="AB586" i="1" s="1"/>
  <c r="D238" i="4"/>
  <c r="AB559" i="1" s="1"/>
  <c r="D237" i="4"/>
  <c r="AB590" i="1" s="1"/>
  <c r="D236" i="4"/>
  <c r="AB549" i="1" s="1"/>
  <c r="D235" i="4"/>
  <c r="AB499" i="1" s="1"/>
  <c r="D234" i="4"/>
  <c r="AB539" i="1" s="1"/>
  <c r="D233" i="4"/>
  <c r="AB591" i="1" s="1"/>
  <c r="D232" i="4"/>
  <c r="AB538" i="1" s="1"/>
  <c r="D231" i="4"/>
  <c r="AB585" i="1" s="1"/>
  <c r="D230" i="4"/>
  <c r="AB515" i="1" s="1"/>
  <c r="D229" i="4"/>
  <c r="AB503" i="1" s="1"/>
  <c r="D228" i="4"/>
  <c r="AB550" i="1" s="1"/>
  <c r="D227" i="4"/>
  <c r="AB500" i="1" s="1"/>
  <c r="D226" i="4"/>
  <c r="AB509" i="1" s="1"/>
  <c r="D225" i="4"/>
  <c r="AB523" i="1" s="1"/>
  <c r="D224" i="4"/>
  <c r="AB569" i="1" s="1"/>
  <c r="D223" i="4"/>
  <c r="AB546" i="1" s="1"/>
  <c r="D222" i="4"/>
  <c r="AB552" i="1" s="1"/>
  <c r="D221" i="4"/>
  <c r="AB568" i="1" s="1"/>
  <c r="D220" i="4"/>
  <c r="AB582" i="1" s="1"/>
  <c r="D219" i="4"/>
  <c r="AB521" i="1" s="1"/>
  <c r="D218" i="4"/>
  <c r="AB498" i="1" s="1"/>
  <c r="D217" i="4"/>
  <c r="AB577" i="1" s="1"/>
  <c r="D216" i="4"/>
  <c r="AB505" i="1" s="1"/>
  <c r="D215" i="4"/>
  <c r="AB516" i="1" s="1"/>
  <c r="D214" i="4"/>
  <c r="AB528" i="1" s="1"/>
  <c r="D213" i="4"/>
  <c r="AB537" i="1" s="1"/>
  <c r="D208" i="4"/>
  <c r="H514" i="1" s="1"/>
  <c r="D207" i="4"/>
  <c r="H593" i="1" s="1"/>
  <c r="D206" i="4"/>
  <c r="H537" i="1" s="1"/>
  <c r="D205" i="4"/>
  <c r="H504" i="1" s="1"/>
  <c r="D204" i="4"/>
  <c r="H525" i="1" s="1"/>
  <c r="D203" i="4"/>
  <c r="H522" i="1" s="1"/>
  <c r="D202" i="4"/>
  <c r="H535" i="1" s="1"/>
  <c r="D201" i="4"/>
  <c r="H543" i="1" s="1"/>
  <c r="D200" i="4"/>
  <c r="H517" i="1" s="1"/>
  <c r="D199" i="4"/>
  <c r="H556" i="1" s="1"/>
  <c r="D198" i="4"/>
  <c r="H494" i="1" s="1"/>
  <c r="D197" i="4"/>
  <c r="H526" i="1" s="1"/>
  <c r="D196" i="4"/>
  <c r="H567" i="1" s="1"/>
  <c r="D195" i="4"/>
  <c r="H587" i="1" s="1"/>
  <c r="D194" i="4"/>
  <c r="H586" i="1" s="1"/>
  <c r="D193" i="4"/>
  <c r="H583" i="1" s="1"/>
  <c r="D192" i="4"/>
  <c r="H511" i="1" s="1"/>
  <c r="D191" i="4"/>
  <c r="H581" i="1" s="1"/>
  <c r="D190" i="4"/>
  <c r="H521" i="1" s="1"/>
  <c r="D189" i="4"/>
  <c r="H533" i="1" s="1"/>
  <c r="D188" i="4"/>
  <c r="H498" i="1" s="1"/>
  <c r="D187" i="4"/>
  <c r="H534" i="1" s="1"/>
  <c r="D186" i="4"/>
  <c r="H565" i="1" s="1"/>
  <c r="D185" i="4"/>
  <c r="H592" i="1" s="1"/>
  <c r="D184" i="4"/>
  <c r="H540" i="1" s="1"/>
  <c r="D183" i="4"/>
  <c r="H497" i="1" s="1"/>
  <c r="D182" i="4"/>
  <c r="H585" i="1" s="1"/>
  <c r="D181" i="4"/>
  <c r="H495" i="1" s="1"/>
  <c r="D180" i="4"/>
  <c r="H563" i="1" s="1"/>
  <c r="D179" i="4"/>
  <c r="H505" i="1" s="1"/>
  <c r="D178" i="4"/>
  <c r="H547" i="1" s="1"/>
  <c r="D177" i="4"/>
  <c r="H519" i="1" s="1"/>
  <c r="D176" i="4"/>
  <c r="H568" i="1" s="1"/>
  <c r="D175" i="4"/>
  <c r="H557" i="1" s="1"/>
  <c r="D174" i="4"/>
  <c r="H499" i="1" s="1"/>
  <c r="D173" i="4"/>
  <c r="H509" i="1" s="1"/>
  <c r="D172" i="4"/>
  <c r="H558" i="1" s="1"/>
  <c r="D171" i="4"/>
  <c r="H502" i="1" s="1"/>
  <c r="D170" i="4"/>
  <c r="H531" i="1" s="1"/>
  <c r="D169" i="4"/>
  <c r="H578" i="1" s="1"/>
  <c r="D168" i="4"/>
  <c r="H546" i="1" s="1"/>
  <c r="D167" i="4"/>
  <c r="H545" i="1" s="1"/>
  <c r="D166" i="4"/>
  <c r="H549" i="1" s="1"/>
  <c r="D165" i="4"/>
  <c r="H571" i="1" s="1"/>
  <c r="D164" i="4"/>
  <c r="H584" i="1" s="1"/>
  <c r="D163" i="4"/>
  <c r="H554" i="1" s="1"/>
  <c r="D162" i="4"/>
  <c r="H548" i="1" s="1"/>
  <c r="D161" i="4"/>
  <c r="H544" i="1" s="1"/>
  <c r="D160" i="4"/>
  <c r="H520" i="1" s="1"/>
  <c r="D159" i="4"/>
  <c r="H562" i="1" s="1"/>
  <c r="D158" i="4"/>
  <c r="H551" i="1" s="1"/>
  <c r="D157" i="4"/>
  <c r="H579" i="1" s="1"/>
  <c r="D156" i="4"/>
  <c r="H496" i="1" s="1"/>
  <c r="D155" i="4"/>
  <c r="H507" i="1" s="1"/>
  <c r="D154" i="4"/>
  <c r="H576" i="1" s="1"/>
  <c r="D153" i="4"/>
  <c r="H539" i="1" s="1"/>
  <c r="D152" i="4"/>
  <c r="H506" i="1" s="1"/>
  <c r="D151" i="4"/>
  <c r="H550" i="1" s="1"/>
  <c r="D150" i="4"/>
  <c r="H541" i="1" s="1"/>
  <c r="D149" i="4"/>
  <c r="H590" i="1" s="1"/>
  <c r="D148" i="4"/>
  <c r="H508" i="1" s="1"/>
  <c r="D147" i="4"/>
  <c r="H575" i="1" s="1"/>
  <c r="D146" i="4"/>
  <c r="H524" i="1" s="1"/>
  <c r="D145" i="4"/>
  <c r="H553" i="1" s="1"/>
  <c r="D144" i="4"/>
  <c r="H536" i="1" s="1"/>
  <c r="D143" i="4"/>
  <c r="H560" i="1" s="1"/>
  <c r="D142" i="4"/>
  <c r="H529" i="1" s="1"/>
  <c r="D141" i="4"/>
  <c r="H523" i="1" s="1"/>
  <c r="D140" i="4"/>
  <c r="H555" i="1" s="1"/>
  <c r="D139" i="4"/>
  <c r="H572" i="1" s="1"/>
  <c r="D138" i="4"/>
  <c r="H500" i="1" s="1"/>
  <c r="D137" i="4"/>
  <c r="H559" i="1" s="1"/>
  <c r="D136" i="4"/>
  <c r="H561" i="1" s="1"/>
  <c r="D135" i="4"/>
  <c r="H566" i="1" s="1"/>
  <c r="D134" i="4"/>
  <c r="H538" i="1" s="1"/>
  <c r="D133" i="4"/>
  <c r="H515" i="1" s="1"/>
  <c r="D132" i="4"/>
  <c r="H573" i="1" s="1"/>
  <c r="D131" i="4"/>
  <c r="H530" i="1" s="1"/>
  <c r="D130" i="4"/>
  <c r="H564" i="1" s="1"/>
  <c r="D129" i="4"/>
  <c r="H501" i="1" s="1"/>
  <c r="D128" i="4"/>
  <c r="H518" i="1" s="1"/>
  <c r="D127" i="4"/>
  <c r="H542" i="1" s="1"/>
  <c r="D126" i="4"/>
  <c r="H582" i="1" s="1"/>
  <c r="D125" i="4"/>
  <c r="H569" i="1" s="1"/>
  <c r="D124" i="4"/>
  <c r="H577" i="1" s="1"/>
  <c r="D123" i="4"/>
  <c r="H510" i="1" s="1"/>
  <c r="D122" i="4"/>
  <c r="H589" i="1" s="1"/>
  <c r="D121" i="4"/>
  <c r="H570" i="1" s="1"/>
  <c r="D120" i="4"/>
  <c r="H574" i="1" s="1"/>
  <c r="D119" i="4"/>
  <c r="H532" i="1" s="1"/>
  <c r="D118" i="4"/>
  <c r="H503" i="1" s="1"/>
  <c r="D117" i="4"/>
  <c r="H516" i="1" s="1"/>
  <c r="D116" i="4"/>
  <c r="H591" i="1" s="1"/>
  <c r="D115" i="4"/>
  <c r="H527" i="1" s="1"/>
  <c r="D114" i="4"/>
  <c r="H512" i="1" s="1"/>
  <c r="D113" i="4"/>
  <c r="H513" i="1" s="1"/>
  <c r="D112" i="4"/>
  <c r="H588" i="1" s="1"/>
  <c r="D111" i="4"/>
  <c r="H528" i="1" s="1"/>
  <c r="D110" i="4"/>
  <c r="H552" i="1" s="1"/>
  <c r="D109" i="4"/>
  <c r="H580" i="1" s="1"/>
  <c r="D44" i="4"/>
  <c r="X547" i="1" s="1"/>
  <c r="D76" i="4"/>
  <c r="X509" i="1" s="1"/>
  <c r="D99" i="4"/>
  <c r="X541" i="1" s="1"/>
  <c r="D38" i="4"/>
  <c r="X534" i="1" s="1"/>
  <c r="D14" i="4"/>
  <c r="X527" i="1" s="1"/>
  <c r="D24" i="4"/>
  <c r="X504" i="1" s="1"/>
  <c r="D98" i="4"/>
  <c r="X561" i="1" s="1"/>
  <c r="D90" i="4"/>
  <c r="X494" i="1" s="1"/>
  <c r="D87" i="4"/>
  <c r="X496" i="1" s="1"/>
  <c r="D71" i="4"/>
  <c r="X503" i="1" s="1"/>
  <c r="D60" i="4"/>
  <c r="X495" i="1" s="1"/>
  <c r="D85" i="4"/>
  <c r="X570" i="1" s="1"/>
  <c r="D33" i="4"/>
  <c r="X555" i="1" s="1"/>
  <c r="D5" i="4"/>
  <c r="X544" i="1" s="1"/>
  <c r="D83" i="4"/>
  <c r="X575" i="1" s="1"/>
  <c r="D45" i="4"/>
  <c r="X553" i="1" s="1"/>
  <c r="D55" i="4"/>
  <c r="X499" i="1" s="1"/>
  <c r="D59" i="4"/>
  <c r="X502" i="1" s="1"/>
  <c r="D43" i="4"/>
  <c r="X513" i="1" s="1"/>
  <c r="D47" i="4"/>
  <c r="X506" i="1" s="1"/>
  <c r="D23" i="4"/>
  <c r="X554" i="1" s="1"/>
  <c r="D66" i="4"/>
  <c r="X514" i="1" s="1"/>
  <c r="D28" i="4"/>
  <c r="X536" i="1" s="1"/>
  <c r="D20" i="4"/>
  <c r="X578" i="1" s="1"/>
  <c r="D11" i="4"/>
  <c r="X573" i="1" s="1"/>
  <c r="D103" i="4"/>
  <c r="X523" i="1" s="1"/>
  <c r="D53" i="4"/>
  <c r="X522" i="1" s="1"/>
  <c r="T495" i="1" l="1"/>
  <c r="T502" i="1"/>
  <c r="T542" i="1"/>
  <c r="T564" i="1"/>
  <c r="T529" i="1"/>
  <c r="T552" i="1"/>
  <c r="T559" i="1"/>
  <c r="T567" i="1"/>
  <c r="T557" i="1"/>
  <c r="T565" i="1"/>
  <c r="T573" i="1"/>
  <c r="T537" i="1"/>
  <c r="T532" i="1"/>
  <c r="T540" i="1"/>
  <c r="T551" i="1"/>
  <c r="T566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1" i="15"/>
  <c r="V666" i="15"/>
  <c r="V664" i="15"/>
  <c r="V659" i="15"/>
  <c r="V663" i="15"/>
  <c r="V662" i="15"/>
  <c r="V660" i="15"/>
  <c r="V665" i="15"/>
  <c r="V668" i="15"/>
  <c r="V603" i="15"/>
  <c r="V600" i="15"/>
  <c r="V602" i="15"/>
  <c r="V599" i="15"/>
  <c r="V607" i="15"/>
  <c r="V604" i="15"/>
  <c r="V606" i="15"/>
  <c r="V601" i="15"/>
  <c r="V605" i="15"/>
  <c r="V608" i="15"/>
  <c r="G323" i="1" l="1"/>
  <c r="G325" i="1"/>
  <c r="G313" i="1"/>
  <c r="G312" i="1"/>
  <c r="G316" i="1"/>
  <c r="G321" i="1"/>
  <c r="G326" i="1"/>
  <c r="G331" i="1"/>
  <c r="G333" i="1"/>
  <c r="G314" i="1"/>
  <c r="G315" i="1"/>
  <c r="G318" i="1"/>
  <c r="G327" i="1"/>
  <c r="G338" i="1"/>
  <c r="G342" i="1"/>
  <c r="G343" i="1"/>
  <c r="G337" i="1"/>
  <c r="N373" i="1" l="1"/>
  <c r="F373" i="1"/>
  <c r="B373" i="1"/>
  <c r="P122" i="1" l="1"/>
  <c r="P178" i="1"/>
  <c r="P195" i="1"/>
  <c r="P127" i="1"/>
  <c r="P139" i="1"/>
  <c r="P205" i="1"/>
  <c r="P189" i="1"/>
  <c r="P208" i="1"/>
  <c r="P125" i="1"/>
  <c r="P138" i="1"/>
  <c r="P130" i="1"/>
  <c r="P124" i="1"/>
  <c r="P212" i="1"/>
  <c r="P188" i="1"/>
  <c r="P160" i="1"/>
  <c r="P126" i="1"/>
  <c r="P134" i="1"/>
  <c r="P163" i="1"/>
  <c r="P184" i="1"/>
  <c r="P193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19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35" i="1" s="1"/>
  <c r="AQF616" i="1"/>
  <c r="L464" i="1" s="1"/>
  <c r="AIP616" i="1"/>
  <c r="L450" i="1" s="1"/>
  <c r="AHO616" i="1"/>
  <c r="L436" i="1" s="1"/>
  <c r="AJQ616" i="1"/>
  <c r="L415" i="1" s="1"/>
  <c r="AIG616" i="1"/>
  <c r="L489" i="1" s="1"/>
  <c r="ALS616" i="1"/>
  <c r="L462" i="1" s="1"/>
  <c r="ANC616" i="1"/>
  <c r="L442" i="1" s="1"/>
  <c r="AOD616" i="1"/>
  <c r="L416" i="1" s="1"/>
  <c r="APW616" i="1"/>
  <c r="L441" i="1" s="1"/>
  <c r="AOM616" i="1"/>
  <c r="L449" i="1" s="1"/>
  <c r="AMB616" i="1"/>
  <c r="L405" i="1" s="1"/>
  <c r="AJZ616" i="1"/>
  <c r="L452" i="1" s="1"/>
  <c r="ANL616" i="1"/>
  <c r="L443" i="1" s="1"/>
  <c r="AIY616" i="1"/>
  <c r="L476" i="1" s="1"/>
  <c r="AKI616" i="1"/>
  <c r="L401" i="1" s="1"/>
  <c r="ALA616" i="1"/>
  <c r="L461" i="1" s="1"/>
  <c r="AMK616" i="1"/>
  <c r="L481" i="1" s="1"/>
  <c r="ANU616" i="1"/>
  <c r="L396" i="1" s="1"/>
  <c r="AOV616" i="1"/>
  <c r="L391" i="1" s="1"/>
  <c r="AJH616" i="1"/>
  <c r="L478" i="1" s="1"/>
  <c r="AKR616" i="1"/>
  <c r="L403" i="1" s="1"/>
  <c r="ALJ616" i="1"/>
  <c r="L469" i="1" s="1"/>
  <c r="AMT616" i="1"/>
  <c r="L422" i="1" s="1"/>
  <c r="APN616" i="1"/>
  <c r="L411" i="1" s="1"/>
  <c r="APE616" i="1"/>
  <c r="L431" i="1" s="1"/>
  <c r="AJZ640" i="1"/>
  <c r="AB453" i="1" s="1"/>
  <c r="AHX652" i="1"/>
  <c r="AJ408" i="1" s="1"/>
  <c r="AJH652" i="1"/>
  <c r="AJ487" i="1" s="1"/>
  <c r="ALJ652" i="1"/>
  <c r="AJ457" i="1" s="1"/>
  <c r="AOV652" i="1"/>
  <c r="AJ437" i="1" s="1"/>
  <c r="ANC652" i="1"/>
  <c r="AJ394" i="1" s="1"/>
  <c r="APW652" i="1"/>
  <c r="AJ448" i="1" s="1"/>
  <c r="AIY640" i="1"/>
  <c r="AB469" i="1" s="1"/>
  <c r="AKI640" i="1"/>
  <c r="AB446" i="1" s="1"/>
  <c r="ALA640" i="1"/>
  <c r="AB478" i="1" s="1"/>
  <c r="AMK640" i="1"/>
  <c r="AB429" i="1" s="1"/>
  <c r="ANU640" i="1"/>
  <c r="AB463" i="1" s="1"/>
  <c r="AOM640" i="1"/>
  <c r="AB398" i="1" s="1"/>
  <c r="AIG670" i="1"/>
  <c r="AV478" i="1" s="1"/>
  <c r="AJQ670" i="1"/>
  <c r="AV462" i="1" s="1"/>
  <c r="ALA670" i="1"/>
  <c r="AV450" i="1" s="1"/>
  <c r="AMK670" i="1"/>
  <c r="AV402" i="1" s="1"/>
  <c r="ANU670" i="1"/>
  <c r="AV444" i="1" s="1"/>
  <c r="APE670" i="1"/>
  <c r="AV435" i="1" s="1"/>
  <c r="AKR628" i="1"/>
  <c r="T451" i="1" s="1"/>
  <c r="AIY628" i="1"/>
  <c r="T405" i="1" s="1"/>
  <c r="ALJ628" i="1"/>
  <c r="T463" i="1" s="1"/>
  <c r="AJZ628" i="1"/>
  <c r="T444" i="1" s="1"/>
  <c r="ANU628" i="1"/>
  <c r="T441" i="1" s="1"/>
  <c r="APN628" i="1"/>
  <c r="T457" i="1" s="1"/>
  <c r="AKH672" i="1"/>
  <c r="P8" i="1" s="1"/>
  <c r="AKI604" i="1"/>
  <c r="D412" i="1" s="1"/>
  <c r="AIY604" i="1"/>
  <c r="D395" i="1" s="1"/>
  <c r="AIX672" i="1"/>
  <c r="P21" i="1" s="1"/>
  <c r="ALI672" i="1"/>
  <c r="P76" i="1" s="1"/>
  <c r="ALJ604" i="1"/>
  <c r="D439" i="1" s="1"/>
  <c r="AMT604" i="1"/>
  <c r="D404" i="1" s="1"/>
  <c r="AMS672" i="1"/>
  <c r="P5" i="1" s="1"/>
  <c r="ANT672" i="1"/>
  <c r="P3" i="1" s="1"/>
  <c r="ANU604" i="1"/>
  <c r="D436" i="1" s="1"/>
  <c r="APV672" i="1"/>
  <c r="P31" i="1" s="1"/>
  <c r="APW604" i="1"/>
  <c r="D426" i="1" s="1"/>
  <c r="AHO622" i="1"/>
  <c r="P463" i="1" s="1"/>
  <c r="AIY622" i="1"/>
  <c r="P465" i="1" s="1"/>
  <c r="AKI622" i="1"/>
  <c r="P403" i="1" s="1"/>
  <c r="ALS622" i="1"/>
  <c r="P450" i="1" s="1"/>
  <c r="ANL622" i="1"/>
  <c r="P433" i="1" s="1"/>
  <c r="AOM622" i="1"/>
  <c r="P423" i="1" s="1"/>
  <c r="APW622" i="1"/>
  <c r="P432" i="1" s="1"/>
  <c r="AHO610" i="1"/>
  <c r="H477" i="1" s="1"/>
  <c r="AJZ610" i="1"/>
  <c r="H443" i="1" s="1"/>
  <c r="AJH610" i="1"/>
  <c r="H447" i="1" s="1"/>
  <c r="ALS610" i="1"/>
  <c r="H448" i="1" s="1"/>
  <c r="ANC610" i="1"/>
  <c r="H456" i="1" s="1"/>
  <c r="AOM610" i="1"/>
  <c r="H391" i="1" s="1"/>
  <c r="APW610" i="1"/>
  <c r="H423" i="1" s="1"/>
  <c r="AHO664" i="1"/>
  <c r="AR468" i="1" s="1"/>
  <c r="AJQ664" i="1"/>
  <c r="AR473" i="1" s="1"/>
  <c r="AIG664" i="1"/>
  <c r="AR464" i="1" s="1"/>
  <c r="ALS664" i="1"/>
  <c r="AR471" i="1" s="1"/>
  <c r="ANC664" i="1"/>
  <c r="AR434" i="1" s="1"/>
  <c r="APW664" i="1"/>
  <c r="AR466" i="1" s="1"/>
  <c r="APE664" i="1"/>
  <c r="AR425" i="1" s="1"/>
  <c r="AIG646" i="1"/>
  <c r="AF464" i="1" s="1"/>
  <c r="AJQ646" i="1"/>
  <c r="AF471" i="1" s="1"/>
  <c r="ALA646" i="1"/>
  <c r="AF480" i="1" s="1"/>
  <c r="AMK646" i="1"/>
  <c r="AF458" i="1" s="1"/>
  <c r="ANL646" i="1"/>
  <c r="AF432" i="1" s="1"/>
  <c r="APE646" i="1"/>
  <c r="AF462" i="1" s="1"/>
  <c r="AIG634" i="1"/>
  <c r="X408" i="1" s="1"/>
  <c r="AIP634" i="1"/>
  <c r="X464" i="1" s="1"/>
  <c r="ALA634" i="1"/>
  <c r="X437" i="1" s="1"/>
  <c r="AMK634" i="1"/>
  <c r="X423" i="1" s="1"/>
  <c r="ANU634" i="1"/>
  <c r="X474" i="1" s="1"/>
  <c r="APE634" i="1"/>
  <c r="X459" i="1" s="1"/>
  <c r="AHO658" i="1"/>
  <c r="AN434" i="1" s="1"/>
  <c r="AKI658" i="1"/>
  <c r="AN415" i="1" s="1"/>
  <c r="AJQ658" i="1"/>
  <c r="AN489" i="1" s="1"/>
  <c r="ALS658" i="1"/>
  <c r="AN465" i="1" s="1"/>
  <c r="AMT658" i="1"/>
  <c r="AN449" i="1" s="1"/>
  <c r="AOM658" i="1"/>
  <c r="AN454" i="1" s="1"/>
  <c r="APW658" i="1"/>
  <c r="AN440" i="1" s="1"/>
  <c r="AIG652" i="1"/>
  <c r="AJ477" i="1" s="1"/>
  <c r="AJQ652" i="1"/>
  <c r="AJ456" i="1" s="1"/>
  <c r="ALS652" i="1"/>
  <c r="AJ478" i="1" s="1"/>
  <c r="AJZ652" i="1"/>
  <c r="AJ465" i="1" s="1"/>
  <c r="ANL652" i="1"/>
  <c r="AJ485" i="1" s="1"/>
  <c r="AOD652" i="1"/>
  <c r="AJ481" i="1" s="1"/>
  <c r="AJH640" i="1"/>
  <c r="AB480" i="1" s="1"/>
  <c r="AKR640" i="1"/>
  <c r="AB466" i="1" s="1"/>
  <c r="ALJ640" i="1"/>
  <c r="AB468" i="1" s="1"/>
  <c r="AMT640" i="1"/>
  <c r="AB461" i="1" s="1"/>
  <c r="APE640" i="1"/>
  <c r="AB400" i="1" s="1"/>
  <c r="AOV640" i="1"/>
  <c r="AB462" i="1" s="1"/>
  <c r="AIP670" i="1"/>
  <c r="AV485" i="1" s="1"/>
  <c r="AJZ670" i="1"/>
  <c r="AV440" i="1" s="1"/>
  <c r="ALJ670" i="1"/>
  <c r="AV476" i="1" s="1"/>
  <c r="AMT670" i="1"/>
  <c r="AV489" i="1" s="1"/>
  <c r="AOD670" i="1"/>
  <c r="AV473" i="1" s="1"/>
  <c r="APN670" i="1"/>
  <c r="AV468" i="1" s="1"/>
  <c r="AHX628" i="1"/>
  <c r="T435" i="1" s="1"/>
  <c r="AJH628" i="1"/>
  <c r="T458" i="1" s="1"/>
  <c r="ALS628" i="1"/>
  <c r="T432" i="1" s="1"/>
  <c r="AMT628" i="1"/>
  <c r="T421" i="1" s="1"/>
  <c r="AOV628" i="1"/>
  <c r="T391" i="1" s="1"/>
  <c r="AOD628" i="1"/>
  <c r="T460" i="1" s="1"/>
  <c r="AKQ672" i="1"/>
  <c r="P25" i="1" s="1"/>
  <c r="AKR604" i="1"/>
  <c r="D408" i="1" s="1"/>
  <c r="AJG672" i="1"/>
  <c r="P78" i="1" s="1"/>
  <c r="AJH604" i="1"/>
  <c r="D461" i="1" s="1"/>
  <c r="ALS604" i="1"/>
  <c r="D442" i="1" s="1"/>
  <c r="ALR672" i="1"/>
  <c r="P69" i="1" s="1"/>
  <c r="AJY672" i="1"/>
  <c r="P24" i="1" s="1"/>
  <c r="AJZ604" i="1"/>
  <c r="D440" i="1" s="1"/>
  <c r="APM672" i="1"/>
  <c r="P33" i="1" s="1"/>
  <c r="APN604" i="1"/>
  <c r="D475" i="1" s="1"/>
  <c r="AOC672" i="1"/>
  <c r="P38" i="1" s="1"/>
  <c r="AOD604" i="1"/>
  <c r="D447" i="1" s="1"/>
  <c r="AHX622" i="1"/>
  <c r="P399" i="1" s="1"/>
  <c r="AJH622" i="1"/>
  <c r="P427" i="1" s="1"/>
  <c r="AKR622" i="1"/>
  <c r="P398" i="1" s="1"/>
  <c r="AMB622" i="1"/>
  <c r="P475" i="1" s="1"/>
  <c r="ANC622" i="1"/>
  <c r="P428" i="1" s="1"/>
  <c r="AOV622" i="1"/>
  <c r="P429" i="1" s="1"/>
  <c r="AQF622" i="1"/>
  <c r="P443" i="1" s="1"/>
  <c r="AHX610" i="1"/>
  <c r="H475" i="1" s="1"/>
  <c r="AKI610" i="1"/>
  <c r="H412" i="1" s="1"/>
  <c r="AJQ610" i="1"/>
  <c r="H409" i="1" s="1"/>
  <c r="AMB610" i="1"/>
  <c r="H428" i="1" s="1"/>
  <c r="ANU610" i="1"/>
  <c r="H405" i="1" s="1"/>
  <c r="AOV610" i="1"/>
  <c r="H441" i="1" s="1"/>
  <c r="AQF610" i="1"/>
  <c r="H422" i="1" s="1"/>
  <c r="AIP664" i="1"/>
  <c r="AR479" i="1" s="1"/>
  <c r="AJZ664" i="1"/>
  <c r="AR402" i="1" s="1"/>
  <c r="AKR664" i="1"/>
  <c r="AR422" i="1" s="1"/>
  <c r="AMB664" i="1"/>
  <c r="AR459" i="1" s="1"/>
  <c r="ANL664" i="1"/>
  <c r="AR488" i="1" s="1"/>
  <c r="ANU664" i="1"/>
  <c r="AR465" i="1" s="1"/>
  <c r="AQF664" i="1"/>
  <c r="AR461" i="1" s="1"/>
  <c r="AIP646" i="1"/>
  <c r="AF463" i="1" s="1"/>
  <c r="AJZ646" i="1"/>
  <c r="AF467" i="1" s="1"/>
  <c r="ALJ646" i="1"/>
  <c r="AF399" i="1" s="1"/>
  <c r="ANC646" i="1"/>
  <c r="AF455" i="1" s="1"/>
  <c r="AOD646" i="1"/>
  <c r="AF402" i="1" s="1"/>
  <c r="APN646" i="1"/>
  <c r="AF457" i="1" s="1"/>
  <c r="AJZ634" i="1"/>
  <c r="X467" i="1" s="1"/>
  <c r="AIY634" i="1"/>
  <c r="X412" i="1" s="1"/>
  <c r="ALJ634" i="1"/>
  <c r="X452" i="1" s="1"/>
  <c r="AMT634" i="1"/>
  <c r="X490" i="1" s="1"/>
  <c r="AOD634" i="1"/>
  <c r="X486" i="1" s="1"/>
  <c r="APN634" i="1"/>
  <c r="X416" i="1" s="1"/>
  <c r="AHX658" i="1"/>
  <c r="AN460" i="1" s="1"/>
  <c r="AIP658" i="1"/>
  <c r="AN402" i="1" s="1"/>
  <c r="AKR658" i="1"/>
  <c r="AN447" i="1" s="1"/>
  <c r="AMB658" i="1"/>
  <c r="AN407" i="1" s="1"/>
  <c r="ANL658" i="1"/>
  <c r="AN392" i="1" s="1"/>
  <c r="AOV658" i="1"/>
  <c r="AN429" i="1" s="1"/>
  <c r="AQF658" i="1"/>
  <c r="AN403" i="1" s="1"/>
  <c r="AHO652" i="1"/>
  <c r="AJ402" i="1" s="1"/>
  <c r="AIP652" i="1"/>
  <c r="AJ432" i="1" s="1"/>
  <c r="AKR652" i="1"/>
  <c r="AJ411" i="1" s="1"/>
  <c r="AMB652" i="1"/>
  <c r="AJ452" i="1" s="1"/>
  <c r="APN652" i="1"/>
  <c r="AJ458" i="1" s="1"/>
  <c r="ANU652" i="1"/>
  <c r="AJ393" i="1" s="1"/>
  <c r="AOM652" i="1"/>
  <c r="AJ454" i="1" s="1"/>
  <c r="AHO640" i="1"/>
  <c r="AB488" i="1" s="1"/>
  <c r="AJQ640" i="1"/>
  <c r="AB424" i="1" s="1"/>
  <c r="AHX640" i="1"/>
  <c r="AB422" i="1" s="1"/>
  <c r="ALS640" i="1"/>
  <c r="AB445" i="1" s="1"/>
  <c r="ANC640" i="1"/>
  <c r="AB408" i="1" s="1"/>
  <c r="APW640" i="1"/>
  <c r="AB435" i="1" s="1"/>
  <c r="APN640" i="1"/>
  <c r="AB489" i="1" s="1"/>
  <c r="AHO670" i="1"/>
  <c r="AV469" i="1" s="1"/>
  <c r="AIY670" i="1"/>
  <c r="AV424" i="1" s="1"/>
  <c r="AKI670" i="1"/>
  <c r="AV431" i="1" s="1"/>
  <c r="ALS670" i="1"/>
  <c r="AV482" i="1" s="1"/>
  <c r="ANL670" i="1"/>
  <c r="AV459" i="1" s="1"/>
  <c r="AOM670" i="1"/>
  <c r="AV479" i="1" s="1"/>
  <c r="APW670" i="1"/>
  <c r="AV463" i="1" s="1"/>
  <c r="AHO628" i="1"/>
  <c r="T478" i="1" s="1"/>
  <c r="AIG628" i="1"/>
  <c r="T472" i="1" s="1"/>
  <c r="AJQ628" i="1"/>
  <c r="T446" i="1" s="1"/>
  <c r="AMB628" i="1"/>
  <c r="T437" i="1" s="1"/>
  <c r="ANC628" i="1"/>
  <c r="T419" i="1" s="1"/>
  <c r="APE628" i="1"/>
  <c r="T488" i="1" s="1"/>
  <c r="AOM628" i="1"/>
  <c r="T392" i="1" s="1"/>
  <c r="AHO604" i="1"/>
  <c r="D481" i="1" s="1"/>
  <c r="AHN672" i="1"/>
  <c r="P75" i="1" s="1"/>
  <c r="AIF672" i="1"/>
  <c r="P74" i="1" s="1"/>
  <c r="AIG604" i="1"/>
  <c r="D460" i="1" s="1"/>
  <c r="AJQ604" i="1"/>
  <c r="D394" i="1" s="1"/>
  <c r="AJP672" i="1"/>
  <c r="P15" i="1" s="1"/>
  <c r="AMA672" i="1"/>
  <c r="P37" i="1" s="1"/>
  <c r="AMB604" i="1"/>
  <c r="D434" i="1" s="1"/>
  <c r="ANB672" i="1"/>
  <c r="P12" i="1" s="1"/>
  <c r="ANC604" i="1"/>
  <c r="D415" i="1" s="1"/>
  <c r="AQE672" i="1"/>
  <c r="P17" i="1" s="1"/>
  <c r="AQF604" i="1"/>
  <c r="D458" i="1" s="1"/>
  <c r="AOM604" i="1"/>
  <c r="D448" i="1" s="1"/>
  <c r="AOL672" i="1"/>
  <c r="P59" i="1" s="1"/>
  <c r="AIG622" i="1"/>
  <c r="P474" i="1" s="1"/>
  <c r="AJQ622" i="1"/>
  <c r="P438" i="1" s="1"/>
  <c r="ALA622" i="1"/>
  <c r="P476" i="1" s="1"/>
  <c r="AMK622" i="1"/>
  <c r="P412" i="1" s="1"/>
  <c r="ANU622" i="1"/>
  <c r="P481" i="1" s="1"/>
  <c r="APE622" i="1"/>
  <c r="P425" i="1" s="1"/>
  <c r="AIG610" i="1"/>
  <c r="H465" i="1" s="1"/>
  <c r="AKR610" i="1"/>
  <c r="H407" i="1" s="1"/>
  <c r="ALA610" i="1"/>
  <c r="H460" i="1" s="1"/>
  <c r="AMK610" i="1"/>
  <c r="H462" i="1" s="1"/>
  <c r="ANL610" i="1"/>
  <c r="H392" i="1" s="1"/>
  <c r="APE610" i="1"/>
  <c r="H432" i="1" s="1"/>
  <c r="AIY664" i="1"/>
  <c r="AR484" i="1" s="1"/>
  <c r="AKI664" i="1"/>
  <c r="AR483" i="1" s="1"/>
  <c r="ALA664" i="1"/>
  <c r="AR442" i="1" s="1"/>
  <c r="AMK664" i="1"/>
  <c r="AR478" i="1" s="1"/>
  <c r="AOV664" i="1"/>
  <c r="AR481" i="1" s="1"/>
  <c r="AOD664" i="1"/>
  <c r="AR490" i="1" s="1"/>
  <c r="AHO646" i="1"/>
  <c r="AF470" i="1" s="1"/>
  <c r="AIY646" i="1"/>
  <c r="AF456" i="1" s="1"/>
  <c r="AKI646" i="1"/>
  <c r="AF475" i="1" s="1"/>
  <c r="ALS646" i="1"/>
  <c r="AF434" i="1" s="1"/>
  <c r="ANU646" i="1"/>
  <c r="AF466" i="1" s="1"/>
  <c r="AOM646" i="1"/>
  <c r="AF426" i="1" s="1"/>
  <c r="APW646" i="1"/>
  <c r="AF419" i="1" s="1"/>
  <c r="AHO634" i="1"/>
  <c r="X440" i="1" s="1"/>
  <c r="AKI634" i="1"/>
  <c r="X445" i="1" s="1"/>
  <c r="AJH634" i="1"/>
  <c r="X399" i="1" s="1"/>
  <c r="ALS634" i="1"/>
  <c r="X476" i="1" s="1"/>
  <c r="ANL634" i="1"/>
  <c r="X429" i="1" s="1"/>
  <c r="AOM634" i="1"/>
  <c r="X458" i="1" s="1"/>
  <c r="APW634" i="1"/>
  <c r="X457" i="1" s="1"/>
  <c r="AIG658" i="1"/>
  <c r="AN476" i="1" s="1"/>
  <c r="AIY658" i="1"/>
  <c r="AN426" i="1" s="1"/>
  <c r="ALA658" i="1"/>
  <c r="AN482" i="1" s="1"/>
  <c r="AMK658" i="1"/>
  <c r="AN483" i="1" s="1"/>
  <c r="ANU658" i="1"/>
  <c r="AN410" i="1" s="1"/>
  <c r="APE658" i="1"/>
  <c r="AN438" i="1" s="1"/>
  <c r="AKI652" i="1"/>
  <c r="AJ467" i="1" s="1"/>
  <c r="AIY652" i="1"/>
  <c r="AJ479" i="1" s="1"/>
  <c r="ALA652" i="1"/>
  <c r="AJ488" i="1" s="1"/>
  <c r="AMK652" i="1"/>
  <c r="AJ446" i="1" s="1"/>
  <c r="AMT652" i="1"/>
  <c r="AJ489" i="1" s="1"/>
  <c r="APE652" i="1"/>
  <c r="AJ391" i="1" s="1"/>
  <c r="AQF652" i="1"/>
  <c r="AJ401" i="1" s="1"/>
  <c r="AIP640" i="1"/>
  <c r="AB482" i="1" s="1"/>
  <c r="AIG640" i="1"/>
  <c r="AB426" i="1" s="1"/>
  <c r="AMB640" i="1"/>
  <c r="AB448" i="1" s="1"/>
  <c r="ANL640" i="1"/>
  <c r="AB407" i="1" s="1"/>
  <c r="AOD640" i="1"/>
  <c r="AB414" i="1" s="1"/>
  <c r="AQF640" i="1"/>
  <c r="AB391" i="1" s="1"/>
  <c r="AHX670" i="1"/>
  <c r="AV443" i="1" s="1"/>
  <c r="AJH670" i="1"/>
  <c r="AV425" i="1" s="1"/>
  <c r="AKR670" i="1"/>
  <c r="AV428" i="1" s="1"/>
  <c r="AMB670" i="1"/>
  <c r="AV470" i="1" s="1"/>
  <c r="ANC670" i="1"/>
  <c r="AV396" i="1" s="1"/>
  <c r="AOV670" i="1"/>
  <c r="AV441" i="1" s="1"/>
  <c r="AQF670" i="1"/>
  <c r="AV467" i="1" s="1"/>
  <c r="AKI628" i="1"/>
  <c r="T430" i="1" s="1"/>
  <c r="AIP628" i="1"/>
  <c r="T473" i="1" s="1"/>
  <c r="ALA628" i="1"/>
  <c r="T425" i="1" s="1"/>
  <c r="AMK628" i="1"/>
  <c r="T477" i="1" s="1"/>
  <c r="ANL628" i="1"/>
  <c r="T469" i="1" s="1"/>
  <c r="APW628" i="1"/>
  <c r="T423" i="1" s="1"/>
  <c r="AQF628" i="1"/>
  <c r="T434" i="1" s="1"/>
  <c r="AHW672" i="1"/>
  <c r="P65" i="1" s="1"/>
  <c r="AHX604" i="1"/>
  <c r="D444" i="1" s="1"/>
  <c r="AIO672" i="1"/>
  <c r="P18" i="1" s="1"/>
  <c r="AIP604" i="1"/>
  <c r="D453" i="1" s="1"/>
  <c r="ALA604" i="1"/>
  <c r="D482" i="1" s="1"/>
  <c r="AKZ672" i="1"/>
  <c r="P54" i="1" s="1"/>
  <c r="AMJ672" i="1"/>
  <c r="P66" i="1" s="1"/>
  <c r="AMK604" i="1"/>
  <c r="D399" i="1" s="1"/>
  <c r="ANK672" i="1"/>
  <c r="P6" i="1" s="1"/>
  <c r="ANL604" i="1"/>
  <c r="D484" i="1" s="1"/>
  <c r="APE604" i="1"/>
  <c r="D449" i="1" s="1"/>
  <c r="APD672" i="1"/>
  <c r="P22" i="1" s="1"/>
  <c r="AOU672" i="1"/>
  <c r="P92" i="1" s="1"/>
  <c r="AOV604" i="1"/>
  <c r="D467" i="1" s="1"/>
  <c r="AIP622" i="1"/>
  <c r="P477" i="1" s="1"/>
  <c r="AJZ622" i="1"/>
  <c r="P434" i="1" s="1"/>
  <c r="ALJ622" i="1"/>
  <c r="P406" i="1" s="1"/>
  <c r="AMT622" i="1"/>
  <c r="P416" i="1" s="1"/>
  <c r="AOD622" i="1"/>
  <c r="P467" i="1" s="1"/>
  <c r="APN622" i="1"/>
  <c r="P396" i="1" s="1"/>
  <c r="AIP610" i="1"/>
  <c r="H424" i="1" s="1"/>
  <c r="AIY610" i="1"/>
  <c r="H399" i="1" s="1"/>
  <c r="ALJ610" i="1"/>
  <c r="H437" i="1" s="1"/>
  <c r="AMT610" i="1"/>
  <c r="H415" i="1" s="1"/>
  <c r="AOD610" i="1"/>
  <c r="H435" i="1" s="1"/>
  <c r="APN610" i="1"/>
  <c r="H403" i="1" s="1"/>
  <c r="AJH664" i="1"/>
  <c r="AR433" i="1" s="1"/>
  <c r="AHX664" i="1"/>
  <c r="AR395" i="1" s="1"/>
  <c r="ALJ664" i="1"/>
  <c r="AR487" i="1" s="1"/>
  <c r="AMT664" i="1"/>
  <c r="AR472" i="1" s="1"/>
  <c r="APN664" i="1"/>
  <c r="AR450" i="1" s="1"/>
  <c r="AOM664" i="1"/>
  <c r="AR482" i="1" s="1"/>
  <c r="AHX646" i="1"/>
  <c r="AF410" i="1" s="1"/>
  <c r="AJH646" i="1"/>
  <c r="AF479" i="1" s="1"/>
  <c r="AKR646" i="1"/>
  <c r="AF437" i="1" s="1"/>
  <c r="AMB646" i="1"/>
  <c r="AF481" i="1" s="1"/>
  <c r="AMT646" i="1"/>
  <c r="AF444" i="1" s="1"/>
  <c r="AOV646" i="1"/>
  <c r="AF397" i="1" s="1"/>
  <c r="AQF646" i="1"/>
  <c r="AF438" i="1" s="1"/>
  <c r="AHX634" i="1"/>
  <c r="X456" i="1" s="1"/>
  <c r="AKR634" i="1"/>
  <c r="X441" i="1" s="1"/>
  <c r="AJQ634" i="1"/>
  <c r="X395" i="1" s="1"/>
  <c r="AMB634" i="1"/>
  <c r="X465" i="1" s="1"/>
  <c r="ANC634" i="1"/>
  <c r="X414" i="1" s="1"/>
  <c r="AOV634" i="1"/>
  <c r="X394" i="1" s="1"/>
  <c r="AQF634" i="1"/>
  <c r="X409" i="1" s="1"/>
  <c r="AJZ658" i="1"/>
  <c r="AN422" i="1" s="1"/>
  <c r="AJH658" i="1"/>
  <c r="AN395" i="1" s="1"/>
  <c r="ALJ658" i="1"/>
  <c r="AN467" i="1" s="1"/>
  <c r="ANC658" i="1"/>
  <c r="AN418" i="1" s="1"/>
  <c r="AOD658" i="1"/>
  <c r="AN397" i="1" s="1"/>
  <c r="APN658" i="1"/>
  <c r="AN487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4" i="1"/>
  <c r="T354" i="1"/>
  <c r="O236" i="1"/>
  <c r="T367" i="1"/>
  <c r="O225" i="1"/>
  <c r="T355" i="1"/>
  <c r="O229" i="1"/>
  <c r="T360" i="1"/>
  <c r="O242" i="1"/>
  <c r="T374" i="1"/>
  <c r="O226" i="1"/>
  <c r="T357" i="1"/>
  <c r="O234" i="1"/>
  <c r="T365" i="1"/>
  <c r="O235" i="1"/>
  <c r="T366" i="1"/>
  <c r="O230" i="1"/>
  <c r="T361" i="1"/>
  <c r="O232" i="1"/>
  <c r="T363" i="1"/>
  <c r="O231" i="1"/>
  <c r="T362" i="1"/>
  <c r="O227" i="1"/>
  <c r="T358" i="1"/>
  <c r="O238" i="1"/>
  <c r="T369" i="1"/>
  <c r="O248" i="1"/>
  <c r="T383" i="1"/>
  <c r="O237" i="1"/>
  <c r="T368" i="1"/>
  <c r="O239" i="1"/>
  <c r="T370" i="1"/>
  <c r="O233" i="1"/>
  <c r="T364" i="1"/>
  <c r="O246" i="1"/>
  <c r="T381" i="1"/>
  <c r="O223" i="1"/>
  <c r="T353" i="1"/>
  <c r="O240" i="1"/>
  <c r="T371" i="1"/>
  <c r="O244" i="1"/>
  <c r="T376" i="1"/>
  <c r="O222" i="1"/>
  <c r="T352" i="1"/>
  <c r="O228" i="1"/>
  <c r="T359" i="1"/>
  <c r="O247" i="1"/>
  <c r="T382" i="1"/>
  <c r="O245" i="1"/>
  <c r="T377" i="1"/>
  <c r="O241" i="1"/>
  <c r="G81" i="1"/>
  <c r="G9" i="1"/>
  <c r="G33" i="1"/>
  <c r="G93" i="1"/>
  <c r="G13" i="1"/>
  <c r="G65" i="1"/>
  <c r="G15" i="1"/>
  <c r="G35" i="1"/>
  <c r="G75" i="1"/>
  <c r="G29" i="1"/>
  <c r="G45" i="1"/>
  <c r="G59" i="1"/>
  <c r="G37" i="1"/>
  <c r="G10" i="1"/>
  <c r="G55" i="1"/>
  <c r="G42" i="1"/>
  <c r="G30" i="1"/>
  <c r="G68" i="1"/>
  <c r="G95" i="1"/>
  <c r="G67" i="1"/>
  <c r="G69" i="1"/>
  <c r="G74" i="1"/>
  <c r="G51" i="1"/>
  <c r="G70" i="1"/>
  <c r="G94" i="1"/>
  <c r="G82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19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6" i="15"/>
  <c r="V367" i="15"/>
  <c r="V360" i="15"/>
  <c r="V365" i="15"/>
  <c r="V368" i="15"/>
  <c r="V359" i="15"/>
  <c r="V361" i="15"/>
  <c r="V364" i="15"/>
  <c r="V362" i="15"/>
  <c r="V363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0" i="11"/>
  <c r="E610" i="11"/>
  <c r="D610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0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6" i="1" s="1"/>
  <c r="G296" i="1" s="1"/>
  <c r="B126" i="5"/>
  <c r="E300" i="1" s="1"/>
  <c r="G300" i="1" s="1"/>
  <c r="B83" i="5"/>
  <c r="E289" i="1" s="1"/>
  <c r="G289" i="1" s="1"/>
  <c r="B82" i="5"/>
  <c r="E304" i="1" s="1"/>
  <c r="G304" i="1" s="1"/>
  <c r="B79" i="5"/>
  <c r="E297" i="1" s="1"/>
  <c r="G297" i="1" s="1"/>
  <c r="B121" i="5"/>
  <c r="B57" i="5"/>
  <c r="E293" i="1" s="1"/>
  <c r="G293" i="1" s="1"/>
  <c r="B55" i="5"/>
  <c r="E303" i="1" s="1"/>
  <c r="G303" i="1" s="1"/>
  <c r="B50" i="5"/>
  <c r="E292" i="1" s="1"/>
  <c r="G292" i="1" s="1"/>
  <c r="B30" i="5"/>
  <c r="E290" i="1" s="1"/>
  <c r="G290" i="1" s="1"/>
  <c r="B23" i="5"/>
  <c r="E299" i="1" s="1"/>
  <c r="G299" i="1" s="1"/>
  <c r="B18" i="5"/>
  <c r="E302" i="1" s="1"/>
  <c r="G302" i="1" s="1"/>
  <c r="B14" i="5"/>
  <c r="E291" i="1" s="1"/>
  <c r="G291" i="1" s="1"/>
  <c r="E301" i="1" l="1"/>
  <c r="G301" i="1" s="1"/>
  <c r="G335" i="1"/>
  <c r="B78" i="5"/>
  <c r="E225" i="1" s="1"/>
  <c r="G225" i="1" s="1"/>
  <c r="B130" i="5"/>
  <c r="E280" i="1" s="1"/>
  <c r="G280" i="1" s="1"/>
  <c r="B97" i="5"/>
  <c r="E243" i="1" s="1"/>
  <c r="G243" i="1" s="1"/>
  <c r="B101" i="5"/>
  <c r="E263" i="1" s="1"/>
  <c r="G263" i="1" s="1"/>
  <c r="B105" i="5"/>
  <c r="E271" i="1" s="1"/>
  <c r="G271" i="1" s="1"/>
  <c r="B51" i="5"/>
  <c r="E256" i="1" s="1"/>
  <c r="G256" i="1" s="1"/>
  <c r="B64" i="5"/>
  <c r="E229" i="1" s="1"/>
  <c r="G229" i="1" s="1"/>
  <c r="B65" i="5"/>
  <c r="B71" i="5"/>
  <c r="E223" i="1" s="1"/>
  <c r="G223" i="1" s="1"/>
  <c r="B108" i="5"/>
  <c r="E286" i="1" s="1"/>
  <c r="G286" i="1" s="1"/>
  <c r="B17" i="5"/>
  <c r="E262" i="1" s="1"/>
  <c r="G262" i="1" s="1"/>
  <c r="B11" i="5"/>
  <c r="E233" i="1" s="1"/>
  <c r="G233" i="1" s="1"/>
  <c r="B13" i="5"/>
  <c r="E279" i="1" s="1"/>
  <c r="G279" i="1" s="1"/>
  <c r="B58" i="5"/>
  <c r="E281" i="1" s="1"/>
  <c r="G281" i="1" s="1"/>
  <c r="B59" i="5"/>
  <c r="E238" i="1" s="1"/>
  <c r="G238" i="1" s="1"/>
  <c r="B90" i="5"/>
  <c r="E255" i="1" s="1"/>
  <c r="G255" i="1" s="1"/>
  <c r="E283" i="1"/>
  <c r="B33" i="5"/>
  <c r="E284" i="1" s="1"/>
  <c r="G284" i="1" s="1"/>
  <c r="B35" i="5"/>
  <c r="E230" i="1" s="1"/>
  <c r="G230" i="1" s="1"/>
  <c r="B36" i="5"/>
  <c r="E266" i="1" s="1"/>
  <c r="G266" i="1" s="1"/>
  <c r="B37" i="5"/>
  <c r="E258" i="1" s="1"/>
  <c r="G258" i="1" s="1"/>
  <c r="B40" i="5"/>
  <c r="E287" i="1" s="1"/>
  <c r="G287" i="1" s="1"/>
  <c r="B41" i="5"/>
  <c r="E239" i="1" s="1"/>
  <c r="G239" i="1" s="1"/>
  <c r="B42" i="5"/>
  <c r="E254" i="1" s="1"/>
  <c r="G254" i="1" s="1"/>
  <c r="B116" i="5"/>
  <c r="E322" i="1" s="1"/>
  <c r="G322" i="1" s="1"/>
  <c r="B49" i="5"/>
  <c r="E224" i="1" s="1"/>
  <c r="G224" i="1" s="1"/>
  <c r="B125" i="5"/>
  <c r="E308" i="1" s="1"/>
  <c r="G308" i="1" s="1"/>
  <c r="B85" i="5"/>
  <c r="E244" i="1" s="1"/>
  <c r="G244" i="1" s="1"/>
  <c r="B9" i="5"/>
  <c r="E288" i="1" s="1"/>
  <c r="G288" i="1" s="1"/>
  <c r="B27" i="5"/>
  <c r="E276" i="1" s="1"/>
  <c r="G276" i="1" s="1"/>
  <c r="B31" i="5"/>
  <c r="E264" i="1" s="1"/>
  <c r="G264" i="1" s="1"/>
  <c r="B123" i="5"/>
  <c r="E306" i="1" s="1"/>
  <c r="G306" i="1" s="1"/>
  <c r="B38" i="5"/>
  <c r="E245" i="1" s="1"/>
  <c r="G245" i="1" s="1"/>
  <c r="B10" i="5"/>
  <c r="E261" i="1" s="1"/>
  <c r="G261" i="1" s="1"/>
  <c r="B16" i="5"/>
  <c r="E249" i="1" s="1"/>
  <c r="G249" i="1" s="1"/>
  <c r="B20" i="5"/>
  <c r="E274" i="1" s="1"/>
  <c r="G274" i="1" s="1"/>
  <c r="B43" i="5"/>
  <c r="E247" i="1" s="1"/>
  <c r="G247" i="1" s="1"/>
  <c r="B47" i="5"/>
  <c r="E278" i="1" s="1"/>
  <c r="G278" i="1" s="1"/>
  <c r="B52" i="5"/>
  <c r="E222" i="1" s="1"/>
  <c r="G222" i="1" s="1"/>
  <c r="B53" i="5"/>
  <c r="E242" i="1" s="1"/>
  <c r="G242" i="1" s="1"/>
  <c r="B117" i="5"/>
  <c r="E298" i="1" s="1"/>
  <c r="G298" i="1" s="1"/>
  <c r="B118" i="5"/>
  <c r="E346" i="1" s="1"/>
  <c r="G346" i="1" s="1"/>
  <c r="B66" i="5"/>
  <c r="B70" i="5"/>
  <c r="B75" i="5"/>
  <c r="E248" i="1" s="1"/>
  <c r="G248" i="1" s="1"/>
  <c r="B124" i="5"/>
  <c r="E341" i="1" s="1"/>
  <c r="G341" i="1" s="1"/>
  <c r="B92" i="5"/>
  <c r="E272" i="1" s="1"/>
  <c r="G272" i="1" s="1"/>
  <c r="B128" i="5"/>
  <c r="E310" i="1" s="1"/>
  <c r="G310" i="1" s="1"/>
  <c r="B103" i="5"/>
  <c r="E240" i="1" s="1"/>
  <c r="G240" i="1" s="1"/>
  <c r="B114" i="5"/>
  <c r="E345" i="1" s="1"/>
  <c r="G345" i="1" s="1"/>
  <c r="B109" i="5"/>
  <c r="E309" i="1" s="1"/>
  <c r="G309" i="1" s="1"/>
  <c r="B110" i="5"/>
  <c r="E311" i="1" s="1"/>
  <c r="G311" i="1" s="1"/>
  <c r="B19" i="5"/>
  <c r="E275" i="1" s="1"/>
  <c r="G275" i="1" s="1"/>
  <c r="B111" i="5"/>
  <c r="E294" i="1" s="1"/>
  <c r="G294" i="1" s="1"/>
  <c r="B22" i="5"/>
  <c r="E250" i="1" s="1"/>
  <c r="G250" i="1" s="1"/>
  <c r="B112" i="5"/>
  <c r="E305" i="1" s="1"/>
  <c r="G305" i="1" s="1"/>
  <c r="B26" i="5"/>
  <c r="E252" i="1" s="1"/>
  <c r="G252" i="1" s="1"/>
  <c r="B62" i="5"/>
  <c r="E265" i="1" s="1"/>
  <c r="G265" i="1" s="1"/>
  <c r="B63" i="5"/>
  <c r="E251" i="1" s="1"/>
  <c r="G251" i="1" s="1"/>
  <c r="B120" i="5"/>
  <c r="B69" i="5"/>
  <c r="B74" i="5"/>
  <c r="E236" i="1" s="1"/>
  <c r="G236" i="1" s="1"/>
  <c r="B81" i="5"/>
  <c r="E241" i="1" s="1"/>
  <c r="G241" i="1" s="1"/>
  <c r="B87" i="5"/>
  <c r="E277" i="1" s="1"/>
  <c r="G277" i="1" s="1"/>
  <c r="B89" i="5"/>
  <c r="E226" i="1" s="1"/>
  <c r="G226" i="1" s="1"/>
  <c r="B127" i="5"/>
  <c r="E339" i="1" s="1"/>
  <c r="G339" i="1" s="1"/>
  <c r="B129" i="5"/>
  <c r="E270" i="1" s="1"/>
  <c r="G270" i="1" s="1"/>
  <c r="B131" i="5"/>
  <c r="E332" i="1" s="1"/>
  <c r="G332" i="1" s="1"/>
  <c r="B76" i="5"/>
  <c r="E253" i="1" s="1"/>
  <c r="G253" i="1" s="1"/>
  <c r="B8" i="5"/>
  <c r="E268" i="1" s="1"/>
  <c r="G268" i="1" s="1"/>
  <c r="B107" i="5"/>
  <c r="E285" i="1" s="1"/>
  <c r="G285" i="1" s="1"/>
  <c r="B28" i="5"/>
  <c r="E231" i="1" s="1"/>
  <c r="G231" i="1" s="1"/>
  <c r="B32" i="5"/>
  <c r="E282" i="1" s="1"/>
  <c r="G282" i="1" s="1"/>
  <c r="B113" i="5"/>
  <c r="E307" i="1" s="1"/>
  <c r="G307" i="1" s="1"/>
  <c r="B115" i="5"/>
  <c r="E295" i="1" s="1"/>
  <c r="G295" i="1" s="1"/>
  <c r="B119" i="5"/>
  <c r="B122" i="5"/>
  <c r="B68" i="5"/>
  <c r="B73" i="5"/>
  <c r="E257" i="1" s="1"/>
  <c r="G257" i="1" s="1"/>
  <c r="B80" i="5"/>
  <c r="E234" i="1" s="1"/>
  <c r="G234" i="1" s="1"/>
  <c r="B93" i="5"/>
  <c r="E273" i="1" s="1"/>
  <c r="G273" i="1" s="1"/>
  <c r="B94" i="5"/>
  <c r="E228" i="1" s="1"/>
  <c r="G228" i="1" s="1"/>
  <c r="B95" i="5"/>
  <c r="E232" i="1" s="1"/>
  <c r="G232" i="1" s="1"/>
  <c r="B96" i="5"/>
  <c r="E237" i="1" s="1"/>
  <c r="G237" i="1" s="1"/>
  <c r="B102" i="5"/>
  <c r="E227" i="1" s="1"/>
  <c r="G227" i="1" s="1"/>
  <c r="E336" i="1" l="1"/>
  <c r="G336" i="1" s="1"/>
  <c r="G317" i="1"/>
  <c r="E260" i="1"/>
  <c r="G260" i="1" s="1"/>
  <c r="G324" i="1"/>
  <c r="E235" i="1"/>
  <c r="G235" i="1" s="1"/>
  <c r="G328" i="1"/>
  <c r="E259" i="1"/>
  <c r="G259" i="1" s="1"/>
  <c r="G319" i="1"/>
  <c r="E334" i="1"/>
  <c r="G334" i="1" s="1"/>
  <c r="G329" i="1"/>
  <c r="E246" i="1"/>
  <c r="G246" i="1" s="1"/>
  <c r="G320" i="1"/>
  <c r="E269" i="1"/>
  <c r="G269" i="1" s="1"/>
  <c r="G330" i="1"/>
  <c r="E267" i="1"/>
  <c r="G267" i="1" s="1"/>
  <c r="G344" i="1"/>
  <c r="I219" i="1"/>
  <c r="J1819" i="1" l="1"/>
  <c r="I1819" i="1"/>
  <c r="H1819" i="1"/>
  <c r="G1819" i="1"/>
  <c r="H219" i="1"/>
  <c r="N372" i="1" l="1"/>
  <c r="F372" i="1"/>
  <c r="B372" i="1"/>
  <c r="V539" i="15" l="1"/>
  <c r="V540" i="15"/>
  <c r="V546" i="15"/>
  <c r="V542" i="15"/>
  <c r="V547" i="15"/>
  <c r="V545" i="15"/>
  <c r="V548" i="15"/>
  <c r="V541" i="15"/>
  <c r="V544" i="15"/>
  <c r="V543" i="15"/>
  <c r="V487" i="15"/>
  <c r="V486" i="15"/>
  <c r="V485" i="15"/>
  <c r="V488" i="15"/>
  <c r="V483" i="15"/>
  <c r="V481" i="15"/>
  <c r="V479" i="15"/>
  <c r="V482" i="15"/>
  <c r="V484" i="15"/>
  <c r="V480" i="15"/>
  <c r="V427" i="15"/>
  <c r="V420" i="15"/>
  <c r="V426" i="15"/>
  <c r="V425" i="15"/>
  <c r="V423" i="15"/>
  <c r="V419" i="15"/>
  <c r="V428" i="15"/>
  <c r="V422" i="15"/>
  <c r="V424" i="15"/>
  <c r="V421" i="15"/>
  <c r="V300" i="15"/>
  <c r="V306" i="15"/>
  <c r="V305" i="15"/>
  <c r="V302" i="15"/>
  <c r="V303" i="15"/>
  <c r="V308" i="15"/>
  <c r="V307" i="15"/>
  <c r="V301" i="15"/>
  <c r="V299" i="15"/>
  <c r="V304" i="15"/>
  <c r="V239" i="15"/>
  <c r="V242" i="15"/>
  <c r="V248" i="15"/>
  <c r="V240" i="15"/>
  <c r="V243" i="15"/>
  <c r="V246" i="15"/>
  <c r="V247" i="15"/>
  <c r="V244" i="15"/>
  <c r="V241" i="15"/>
  <c r="V184" i="15"/>
  <c r="V179" i="15"/>
  <c r="V180" i="15"/>
  <c r="V183" i="15"/>
  <c r="V186" i="15"/>
  <c r="V187" i="15"/>
  <c r="V182" i="15"/>
  <c r="V185" i="15"/>
  <c r="V181" i="15"/>
  <c r="V188" i="15"/>
  <c r="V122" i="15"/>
  <c r="V127" i="15"/>
  <c r="V119" i="15"/>
  <c r="V124" i="15"/>
  <c r="V120" i="15"/>
  <c r="V128" i="15"/>
  <c r="V125" i="15"/>
  <c r="V123" i="15"/>
  <c r="V121" i="15"/>
  <c r="V126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2" i="1" s="1"/>
  <c r="D101" i="4"/>
  <c r="X569" i="1" s="1"/>
  <c r="D100" i="4"/>
  <c r="X526" i="1" s="1"/>
  <c r="D97" i="4"/>
  <c r="X551" i="1" s="1"/>
  <c r="D96" i="4"/>
  <c r="X528" i="1" s="1"/>
  <c r="D95" i="4"/>
  <c r="X558" i="1" s="1"/>
  <c r="D94" i="4"/>
  <c r="X567" i="1" s="1"/>
  <c r="D93" i="4"/>
  <c r="X552" i="1" s="1"/>
  <c r="D92" i="4"/>
  <c r="X568" i="1" s="1"/>
  <c r="D91" i="4"/>
  <c r="X574" i="1" s="1"/>
  <c r="D89" i="4"/>
  <c r="X543" i="1" s="1"/>
  <c r="D88" i="4"/>
  <c r="X562" i="1" s="1"/>
  <c r="D86" i="4"/>
  <c r="X530" i="1" s="1"/>
  <c r="D84" i="4"/>
  <c r="X581" i="1" s="1"/>
  <c r="D82" i="4"/>
  <c r="X556" i="1" s="1"/>
  <c r="D81" i="4"/>
  <c r="X591" i="1" s="1"/>
  <c r="D80" i="4"/>
  <c r="X525" i="1" s="1"/>
  <c r="D79" i="4"/>
  <c r="X580" i="1" s="1"/>
  <c r="D78" i="4"/>
  <c r="X565" i="1" s="1"/>
  <c r="D77" i="4"/>
  <c r="X587" i="1" s="1"/>
  <c r="D75" i="4"/>
  <c r="X566" i="1" s="1"/>
  <c r="D74" i="4"/>
  <c r="X515" i="1" s="1"/>
  <c r="D73" i="4"/>
  <c r="X545" i="1" s="1"/>
  <c r="D72" i="4"/>
  <c r="X589" i="1" s="1"/>
  <c r="D70" i="4"/>
  <c r="X577" i="1" s="1"/>
  <c r="D69" i="4"/>
  <c r="X572" i="1" s="1"/>
  <c r="D68" i="4"/>
  <c r="X533" i="1" s="1"/>
  <c r="D67" i="4"/>
  <c r="X524" i="1" s="1"/>
  <c r="D65" i="4"/>
  <c r="X500" i="1" s="1"/>
  <c r="D64" i="4"/>
  <c r="X529" i="1" s="1"/>
  <c r="D63" i="4"/>
  <c r="X531" i="1" s="1"/>
  <c r="D62" i="4"/>
  <c r="X521" i="1" s="1"/>
  <c r="D61" i="4"/>
  <c r="X584" i="1" s="1"/>
  <c r="D58" i="4"/>
  <c r="X519" i="1" s="1"/>
  <c r="D57" i="4"/>
  <c r="X579" i="1" s="1"/>
  <c r="D56" i="4"/>
  <c r="X550" i="1" s="1"/>
  <c r="D54" i="4"/>
  <c r="X583" i="1" s="1"/>
  <c r="D52" i="4"/>
  <c r="X590" i="1" s="1"/>
  <c r="D51" i="4"/>
  <c r="X564" i="1" s="1"/>
  <c r="D50" i="4"/>
  <c r="X498" i="1" s="1"/>
  <c r="D49" i="4"/>
  <c r="X546" i="1" s="1"/>
  <c r="D48" i="4"/>
  <c r="X511" i="1" s="1"/>
  <c r="D46" i="4"/>
  <c r="X576" i="1" s="1"/>
  <c r="D42" i="4"/>
  <c r="X517" i="1" s="1"/>
  <c r="D41" i="4"/>
  <c r="X497" i="1" s="1"/>
  <c r="D40" i="4"/>
  <c r="X539" i="1" s="1"/>
  <c r="D39" i="4"/>
  <c r="X592" i="1" s="1"/>
  <c r="D37" i="4"/>
  <c r="X540" i="1" s="1"/>
  <c r="D36" i="4"/>
  <c r="X532" i="1" s="1"/>
  <c r="D35" i="4"/>
  <c r="X537" i="1" s="1"/>
  <c r="D34" i="4"/>
  <c r="X560" i="1" s="1"/>
  <c r="D32" i="4"/>
  <c r="X557" i="1" s="1"/>
  <c r="D31" i="4"/>
  <c r="X563" i="1" s="1"/>
  <c r="D30" i="4"/>
  <c r="X549" i="1" s="1"/>
  <c r="D29" i="4"/>
  <c r="X505" i="1" s="1"/>
  <c r="D27" i="4"/>
  <c r="X538" i="1" s="1"/>
  <c r="D26" i="4"/>
  <c r="X518" i="1" s="1"/>
  <c r="D25" i="4"/>
  <c r="X535" i="1" s="1"/>
  <c r="D22" i="4"/>
  <c r="X542" i="1" s="1"/>
  <c r="D21" i="4"/>
  <c r="X507" i="1" s="1"/>
  <c r="D19" i="4"/>
  <c r="X512" i="1" s="1"/>
  <c r="D18" i="4"/>
  <c r="X593" i="1" s="1"/>
  <c r="D17" i="4"/>
  <c r="X586" i="1" s="1"/>
  <c r="D16" i="4"/>
  <c r="X510" i="1" s="1"/>
  <c r="D15" i="4"/>
  <c r="X501" i="1" s="1"/>
  <c r="D13" i="4"/>
  <c r="X520" i="1" s="1"/>
  <c r="D12" i="4"/>
  <c r="X559" i="1" s="1"/>
  <c r="D10" i="4"/>
  <c r="X571" i="1" s="1"/>
  <c r="D9" i="4"/>
  <c r="X548" i="1" s="1"/>
  <c r="D8" i="4"/>
  <c r="X588" i="1" s="1"/>
  <c r="D7" i="4"/>
  <c r="X516" i="1" s="1"/>
  <c r="D82" i="6"/>
  <c r="P180" i="1" s="1"/>
  <c r="D81" i="6"/>
  <c r="P201" i="1" s="1"/>
  <c r="D80" i="6"/>
  <c r="P164" i="1" s="1"/>
  <c r="D79" i="6"/>
  <c r="P217" i="1" s="1"/>
  <c r="D78" i="6"/>
  <c r="P177" i="1" s="1"/>
  <c r="D77" i="6"/>
  <c r="P119" i="1" s="1"/>
  <c r="D76" i="6"/>
  <c r="P206" i="1" s="1"/>
  <c r="D75" i="6"/>
  <c r="P194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2" i="1" s="1"/>
  <c r="ABQ611" i="1"/>
  <c r="ABR616" i="1" s="1"/>
  <c r="L479" i="1" s="1"/>
  <c r="RG629" i="1"/>
  <c r="RH634" i="1" s="1"/>
  <c r="X411" i="1" s="1"/>
  <c r="XN634" i="1"/>
  <c r="X427" i="1" s="1"/>
  <c r="EC641" i="1"/>
  <c r="ED646" i="1" s="1"/>
  <c r="RG641" i="1"/>
  <c r="RH646" i="1" s="1"/>
  <c r="AF487" i="1" s="1"/>
  <c r="RG659" i="1"/>
  <c r="RH664" i="1" s="1"/>
  <c r="AR467" i="1" s="1"/>
  <c r="ACI659" i="1"/>
  <c r="ACJ664" i="1" s="1"/>
  <c r="ACI665" i="1"/>
  <c r="ACJ670" i="1" s="1"/>
  <c r="RQ634" i="1"/>
  <c r="QO623" i="1"/>
  <c r="QP628" i="1" s="1"/>
  <c r="T466" i="1" s="1"/>
  <c r="ABZ623" i="1"/>
  <c r="ACA628" i="1" s="1"/>
  <c r="T416" i="1" s="1"/>
  <c r="VK629" i="1"/>
  <c r="VL634" i="1" s="1"/>
  <c r="X438" i="1" s="1"/>
  <c r="FD641" i="1"/>
  <c r="FE646" i="1" s="1"/>
  <c r="AF398" i="1" s="1"/>
  <c r="VK641" i="1"/>
  <c r="VL646" i="1" s="1"/>
  <c r="AF393" i="1" s="1"/>
  <c r="EC611" i="1"/>
  <c r="ED616" i="1" s="1"/>
  <c r="ACI617" i="1"/>
  <c r="ACJ622" i="1" s="1"/>
  <c r="WD628" i="1"/>
  <c r="HF641" i="1"/>
  <c r="HG646" i="1" s="1"/>
  <c r="AF433" i="1" s="1"/>
  <c r="AAY647" i="1"/>
  <c r="AAZ652" i="1" s="1"/>
  <c r="AJ473" i="1" s="1"/>
  <c r="ACI647" i="1"/>
  <c r="ACJ652" i="1" s="1"/>
  <c r="RQ616" i="1"/>
  <c r="ZG634" i="1"/>
  <c r="X450" i="1" s="1"/>
  <c r="EC635" i="1"/>
  <c r="ED640" i="1" s="1"/>
  <c r="RQ652" i="1"/>
  <c r="US647" i="1"/>
  <c r="UT652" i="1" s="1"/>
  <c r="AJ429" i="1" s="1"/>
  <c r="QO605" i="1"/>
  <c r="QP610" i="1" s="1"/>
  <c r="H418" i="1" s="1"/>
  <c r="FD611" i="1"/>
  <c r="FE616" i="1" s="1"/>
  <c r="L394" i="1" s="1"/>
  <c r="RG611" i="1"/>
  <c r="RH616" i="1" s="1"/>
  <c r="L393" i="1" s="1"/>
  <c r="ABQ617" i="1"/>
  <c r="ABR622" i="1" s="1"/>
  <c r="P486" i="1" s="1"/>
  <c r="ZG628" i="1"/>
  <c r="T408" i="1" s="1"/>
  <c r="ADA605" i="1"/>
  <c r="ADB610" i="1" s="1"/>
  <c r="AAY629" i="1"/>
  <c r="AAZ634" i="1" s="1"/>
  <c r="X489" i="1" s="1"/>
  <c r="ACI629" i="1"/>
  <c r="ACJ634" i="1" s="1"/>
  <c r="ADA635" i="1"/>
  <c r="ADB640" i="1" s="1"/>
  <c r="AAG641" i="1"/>
  <c r="AAH646" i="1" s="1"/>
  <c r="AF468" i="1" s="1"/>
  <c r="HF653" i="1"/>
  <c r="HG658" i="1" s="1"/>
  <c r="AN443" i="1" s="1"/>
  <c r="RG653" i="1"/>
  <c r="RH658" i="1" s="1"/>
  <c r="AN444" i="1" s="1"/>
  <c r="ZG658" i="1"/>
  <c r="AN462" i="1" s="1"/>
  <c r="FD665" i="1"/>
  <c r="FE670" i="1" s="1"/>
  <c r="AV403" i="1" s="1"/>
  <c r="AAY599" i="1"/>
  <c r="ZX647" i="1"/>
  <c r="ZY652" i="1" s="1"/>
  <c r="AJ472" i="1" s="1"/>
  <c r="ACR611" i="1"/>
  <c r="ACS616" i="1" s="1"/>
  <c r="ABQ653" i="1"/>
  <c r="ABR658" i="1" s="1"/>
  <c r="AN490" i="1" s="1"/>
  <c r="FD623" i="1"/>
  <c r="FE628" i="1" s="1"/>
  <c r="T397" i="1" s="1"/>
  <c r="ACI599" i="1"/>
  <c r="ACI672" i="1" s="1"/>
  <c r="ACR605" i="1"/>
  <c r="ACS610" i="1" s="1"/>
  <c r="HF611" i="1"/>
  <c r="HG616" i="1" s="1"/>
  <c r="L402" i="1" s="1"/>
  <c r="QO611" i="1"/>
  <c r="QP616" i="1" s="1"/>
  <c r="L434" i="1" s="1"/>
  <c r="YX616" i="1"/>
  <c r="ABH611" i="1"/>
  <c r="ABI616" i="1" s="1"/>
  <c r="ZP622" i="1"/>
  <c r="P451" i="1" s="1"/>
  <c r="ABZ605" i="1"/>
  <c r="ACA610" i="1" s="1"/>
  <c r="H481" i="1" s="1"/>
  <c r="EC617" i="1"/>
  <c r="ED622" i="1" s="1"/>
  <c r="OE622" i="1"/>
  <c r="P487" i="1" s="1"/>
  <c r="RG617" i="1"/>
  <c r="RH622" i="1" s="1"/>
  <c r="P459" i="1" s="1"/>
  <c r="XN622" i="1"/>
  <c r="P478" i="1" s="1"/>
  <c r="ZX605" i="1"/>
  <c r="ZY610" i="1" s="1"/>
  <c r="H464" i="1" s="1"/>
  <c r="EC647" i="1"/>
  <c r="ED652" i="1" s="1"/>
  <c r="HF647" i="1"/>
  <c r="HG652" i="1" s="1"/>
  <c r="AJ486" i="1" s="1"/>
  <c r="ZG652" i="1"/>
  <c r="AJ421" i="1" s="1"/>
  <c r="ADA647" i="1"/>
  <c r="ADB652" i="1" s="1"/>
  <c r="EC653" i="1"/>
  <c r="ED658" i="1" s="1"/>
  <c r="US653" i="1"/>
  <c r="UT658" i="1" s="1"/>
  <c r="AN459" i="1" s="1"/>
  <c r="VK653" i="1"/>
  <c r="VL658" i="1" s="1"/>
  <c r="AN445" i="1" s="1"/>
  <c r="XN658" i="1"/>
  <c r="AN405" i="1" s="1"/>
  <c r="ZX653" i="1"/>
  <c r="ZY658" i="1" s="1"/>
  <c r="AN436" i="1" s="1"/>
  <c r="ZG664" i="1"/>
  <c r="AR399" i="1" s="1"/>
  <c r="AAG659" i="1"/>
  <c r="AAH664" i="1" s="1"/>
  <c r="AR420" i="1" s="1"/>
  <c r="AAY659" i="1"/>
  <c r="AAZ664" i="1" s="1"/>
  <c r="AR444" i="1" s="1"/>
  <c r="ABH641" i="1"/>
  <c r="ABI646" i="1" s="1"/>
  <c r="OE652" i="1"/>
  <c r="AJ413" i="1" s="1"/>
  <c r="XN664" i="1"/>
  <c r="AR435" i="1" s="1"/>
  <c r="ZP670" i="1"/>
  <c r="AV466" i="1" s="1"/>
  <c r="EC599" i="1"/>
  <c r="EC672" i="1" s="1"/>
  <c r="H368" i="1" s="1"/>
  <c r="FD599" i="1"/>
  <c r="RG599" i="1"/>
  <c r="EC605" i="1"/>
  <c r="ED610" i="1" s="1"/>
  <c r="WD610" i="1"/>
  <c r="ZG610" i="1"/>
  <c r="H446" i="1" s="1"/>
  <c r="ABQ605" i="1"/>
  <c r="ABR610" i="1" s="1"/>
  <c r="H489" i="1" s="1"/>
  <c r="HF617" i="1"/>
  <c r="HG622" i="1" s="1"/>
  <c r="P444" i="1" s="1"/>
  <c r="QO617" i="1"/>
  <c r="QP622" i="1" s="1"/>
  <c r="P431" i="1" s="1"/>
  <c r="RQ622" i="1"/>
  <c r="US617" i="1"/>
  <c r="UT622" i="1" s="1"/>
  <c r="P471" i="1" s="1"/>
  <c r="YX622" i="1"/>
  <c r="ZX617" i="1"/>
  <c r="ZY622" i="1" s="1"/>
  <c r="P408" i="1" s="1"/>
  <c r="ABH617" i="1"/>
  <c r="ABI622" i="1" s="1"/>
  <c r="OE628" i="1"/>
  <c r="T486" i="1" s="1"/>
  <c r="UA629" i="1"/>
  <c r="UB634" i="1" s="1"/>
  <c r="X469" i="1" s="1"/>
  <c r="RQ640" i="1"/>
  <c r="UA635" i="1"/>
  <c r="UB640" i="1" s="1"/>
  <c r="AB477" i="1" s="1"/>
  <c r="US635" i="1"/>
  <c r="UT640" i="1" s="1"/>
  <c r="AB430" i="1" s="1"/>
  <c r="XN640" i="1"/>
  <c r="AB471" i="1" s="1"/>
  <c r="ZX635" i="1"/>
  <c r="ZY640" i="1" s="1"/>
  <c r="AB436" i="1" s="1"/>
  <c r="ABZ635" i="1"/>
  <c r="ACA640" i="1" s="1"/>
  <c r="AB486" i="1" s="1"/>
  <c r="ACR635" i="1"/>
  <c r="ACS640" i="1" s="1"/>
  <c r="ABH647" i="1"/>
  <c r="ABI652" i="1" s="1"/>
  <c r="QO653" i="1"/>
  <c r="QP658" i="1" s="1"/>
  <c r="AN408" i="1" s="1"/>
  <c r="WD664" i="1"/>
  <c r="RG665" i="1"/>
  <c r="RH670" i="1" s="1"/>
  <c r="AV480" i="1" s="1"/>
  <c r="AAP665" i="1"/>
  <c r="AAQ670" i="1" s="1"/>
  <c r="AV458" i="1" s="1"/>
  <c r="ABZ665" i="1"/>
  <c r="ACA670" i="1" s="1"/>
  <c r="AV487" i="1" s="1"/>
  <c r="ACR599" i="1"/>
  <c r="ACR672" i="1" s="1"/>
  <c r="L367" i="1" s="1"/>
  <c r="FD605" i="1"/>
  <c r="FE610" i="1" s="1"/>
  <c r="H483" i="1" s="1"/>
  <c r="HF605" i="1"/>
  <c r="HG610" i="1" s="1"/>
  <c r="H459" i="1" s="1"/>
  <c r="OE610" i="1"/>
  <c r="H490" i="1" s="1"/>
  <c r="AAG605" i="1"/>
  <c r="AAH610" i="1" s="1"/>
  <c r="H474" i="1" s="1"/>
  <c r="UA611" i="1"/>
  <c r="UB616" i="1" s="1"/>
  <c r="L420" i="1" s="1"/>
  <c r="WD616" i="1"/>
  <c r="ABZ611" i="1"/>
  <c r="ACA616" i="1" s="1"/>
  <c r="L487" i="1" s="1"/>
  <c r="WD622" i="1"/>
  <c r="ZG622" i="1"/>
  <c r="P464" i="1" s="1"/>
  <c r="ACR617" i="1"/>
  <c r="ACS622" i="1" s="1"/>
  <c r="ZP628" i="1"/>
  <c r="T427" i="1" s="1"/>
  <c r="AAY623" i="1"/>
  <c r="AAZ628" i="1" s="1"/>
  <c r="T445" i="1" s="1"/>
  <c r="ABQ623" i="1"/>
  <c r="ABR628" i="1" s="1"/>
  <c r="T414" i="1" s="1"/>
  <c r="US629" i="1"/>
  <c r="UT634" i="1" s="1"/>
  <c r="X485" i="1" s="1"/>
  <c r="YX634" i="1"/>
  <c r="ZX629" i="1"/>
  <c r="ZY634" i="1" s="1"/>
  <c r="X481" i="1" s="1"/>
  <c r="AAP629" i="1"/>
  <c r="AAQ634" i="1" s="1"/>
  <c r="X478" i="1" s="1"/>
  <c r="ABH629" i="1"/>
  <c r="ABI634" i="1" s="1"/>
  <c r="ABZ629" i="1"/>
  <c r="ACA634" i="1" s="1"/>
  <c r="X471" i="1" s="1"/>
  <c r="HF635" i="1"/>
  <c r="HG640" i="1" s="1"/>
  <c r="AB401" i="1" s="1"/>
  <c r="OE646" i="1"/>
  <c r="AF476" i="1" s="1"/>
  <c r="US641" i="1"/>
  <c r="UT646" i="1" s="1"/>
  <c r="AF424" i="1" s="1"/>
  <c r="ZP646" i="1"/>
  <c r="AF403" i="1" s="1"/>
  <c r="ACI641" i="1"/>
  <c r="ACJ646" i="1" s="1"/>
  <c r="ADA641" i="1"/>
  <c r="ADB646" i="1" s="1"/>
  <c r="UA647" i="1"/>
  <c r="UB652" i="1" s="1"/>
  <c r="AJ453" i="1" s="1"/>
  <c r="WD652" i="1"/>
  <c r="YX652" i="1"/>
  <c r="ZO672" i="1"/>
  <c r="P19" i="1" s="1"/>
  <c r="ADA599" i="1"/>
  <c r="ADB604" i="1" s="1"/>
  <c r="XN610" i="1"/>
  <c r="H439" i="1" s="1"/>
  <c r="VK611" i="1"/>
  <c r="VL616" i="1" s="1"/>
  <c r="L430" i="1" s="1"/>
  <c r="FD617" i="1"/>
  <c r="FE622" i="1" s="1"/>
  <c r="P424" i="1" s="1"/>
  <c r="VK617" i="1"/>
  <c r="VL622" i="1" s="1"/>
  <c r="P447" i="1" s="1"/>
  <c r="VK623" i="1"/>
  <c r="VL628" i="1" s="1"/>
  <c r="T401" i="1" s="1"/>
  <c r="XN628" i="1"/>
  <c r="T470" i="1" s="1"/>
  <c r="ZX623" i="1"/>
  <c r="ZY628" i="1" s="1"/>
  <c r="T400" i="1" s="1"/>
  <c r="AAP623" i="1"/>
  <c r="AAQ628" i="1" s="1"/>
  <c r="T454" i="1" s="1"/>
  <c r="ACR623" i="1"/>
  <c r="ACS628" i="1" s="1"/>
  <c r="EC629" i="1"/>
  <c r="ED634" i="1" s="1"/>
  <c r="WD634" i="1"/>
  <c r="AAG629" i="1"/>
  <c r="AAH634" i="1" s="1"/>
  <c r="X477" i="1" s="1"/>
  <c r="ABQ629" i="1"/>
  <c r="ABR634" i="1" s="1"/>
  <c r="X466" i="1" s="1"/>
  <c r="ZG640" i="1"/>
  <c r="AB423" i="1" s="1"/>
  <c r="RQ610" i="1"/>
  <c r="YX610" i="1"/>
  <c r="OE616" i="1"/>
  <c r="L474" i="1" s="1"/>
  <c r="US611" i="1"/>
  <c r="UT616" i="1" s="1"/>
  <c r="L485" i="1" s="1"/>
  <c r="XN616" i="1"/>
  <c r="L444" i="1" s="1"/>
  <c r="ZX611" i="1"/>
  <c r="ZY616" i="1" s="1"/>
  <c r="L465" i="1" s="1"/>
  <c r="AAP611" i="1"/>
  <c r="AAQ616" i="1" s="1"/>
  <c r="L400" i="1" s="1"/>
  <c r="AAP617" i="1"/>
  <c r="AAQ622" i="1" s="1"/>
  <c r="P453" i="1" s="1"/>
  <c r="RQ628" i="1"/>
  <c r="UA623" i="1"/>
  <c r="UB628" i="1" s="1"/>
  <c r="T483" i="1" s="1"/>
  <c r="YX628" i="1"/>
  <c r="HF629" i="1"/>
  <c r="HG634" i="1" s="1"/>
  <c r="X420" i="1" s="1"/>
  <c r="OE634" i="1"/>
  <c r="X480" i="1" s="1"/>
  <c r="QO629" i="1"/>
  <c r="QP634" i="1" s="1"/>
  <c r="X428" i="1" s="1"/>
  <c r="ZP634" i="1"/>
  <c r="X426" i="1" s="1"/>
  <c r="AAG635" i="1"/>
  <c r="AAH640" i="1" s="1"/>
  <c r="AB485" i="1" s="1"/>
  <c r="AAY635" i="1"/>
  <c r="AAZ640" i="1" s="1"/>
  <c r="AB458" i="1" s="1"/>
  <c r="UA641" i="1"/>
  <c r="UB646" i="1" s="1"/>
  <c r="AF449" i="1" s="1"/>
  <c r="AAP641" i="1"/>
  <c r="AAQ646" i="1" s="1"/>
  <c r="AF485" i="1" s="1"/>
  <c r="ABZ641" i="1"/>
  <c r="ACA646" i="1" s="1"/>
  <c r="AF392" i="1" s="1"/>
  <c r="ABH635" i="1"/>
  <c r="ABI640" i="1" s="1"/>
  <c r="RG647" i="1"/>
  <c r="RH652" i="1" s="1"/>
  <c r="AJ436" i="1" s="1"/>
  <c r="XN652" i="1"/>
  <c r="AJ420" i="1" s="1"/>
  <c r="ZP652" i="1"/>
  <c r="AJ490" i="1" s="1"/>
  <c r="ACR647" i="1"/>
  <c r="ACS652" i="1" s="1"/>
  <c r="OE658" i="1"/>
  <c r="AN485" i="1" s="1"/>
  <c r="YX658" i="1"/>
  <c r="AAP653" i="1"/>
  <c r="AAQ658" i="1" s="1"/>
  <c r="AN466" i="1" s="1"/>
  <c r="ABH653" i="1"/>
  <c r="ABI658" i="1" s="1"/>
  <c r="ACR653" i="1"/>
  <c r="ACS658" i="1" s="1"/>
  <c r="EC659" i="1"/>
  <c r="ED664" i="1" s="1"/>
  <c r="UA665" i="1"/>
  <c r="UB670" i="1" s="1"/>
  <c r="AV409" i="1" s="1"/>
  <c r="XN670" i="1"/>
  <c r="AV455" i="1" s="1"/>
  <c r="ADA665" i="1"/>
  <c r="ADB670" i="1" s="1"/>
  <c r="RQ658" i="1"/>
  <c r="ZP658" i="1"/>
  <c r="AN400" i="1" s="1"/>
  <c r="AAG653" i="1"/>
  <c r="AAH658" i="1" s="1"/>
  <c r="AN488" i="1" s="1"/>
  <c r="ADA653" i="1"/>
  <c r="ADB658" i="1" s="1"/>
  <c r="OE664" i="1"/>
  <c r="AR446" i="1" s="1"/>
  <c r="YX664" i="1"/>
  <c r="ZX659" i="1"/>
  <c r="ZY664" i="1" s="1"/>
  <c r="AR457" i="1" s="1"/>
  <c r="AAP659" i="1"/>
  <c r="AAQ664" i="1" s="1"/>
  <c r="AR404" i="1" s="1"/>
  <c r="EC665" i="1"/>
  <c r="ED670" i="1" s="1"/>
  <c r="US665" i="1"/>
  <c r="UT670" i="1" s="1"/>
  <c r="AV488" i="1" s="1"/>
  <c r="AAY665" i="1"/>
  <c r="AAZ670" i="1" s="1"/>
  <c r="AV423" i="1" s="1"/>
  <c r="UA599" i="1"/>
  <c r="UB604" i="1" s="1"/>
  <c r="D437" i="1" s="1"/>
  <c r="ZX599" i="1"/>
  <c r="AAP599" i="1"/>
  <c r="UA605" i="1"/>
  <c r="UB610" i="1" s="1"/>
  <c r="H436" i="1" s="1"/>
  <c r="US605" i="1"/>
  <c r="UT610" i="1" s="1"/>
  <c r="H471" i="1" s="1"/>
  <c r="AAP605" i="1"/>
  <c r="AAQ610" i="1" s="1"/>
  <c r="H473" i="1" s="1"/>
  <c r="ABH605" i="1"/>
  <c r="ABI610" i="1" s="1"/>
  <c r="US599" i="1"/>
  <c r="VK599" i="1"/>
  <c r="VL604" i="1" s="1"/>
  <c r="D417" i="1" s="1"/>
  <c r="AAG599" i="1"/>
  <c r="ABH599" i="1"/>
  <c r="ABH672" i="1" s="1"/>
  <c r="ABZ599" i="1"/>
  <c r="AAY605" i="1"/>
  <c r="AAZ610" i="1" s="1"/>
  <c r="H454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29" i="1" s="1"/>
  <c r="AAY611" i="1"/>
  <c r="AAZ616" i="1" s="1"/>
  <c r="L397" i="1" s="1"/>
  <c r="UA617" i="1"/>
  <c r="UB622" i="1" s="1"/>
  <c r="P466" i="1" s="1"/>
  <c r="ABZ617" i="1"/>
  <c r="ACA622" i="1" s="1"/>
  <c r="P449" i="1" s="1"/>
  <c r="ADA617" i="1"/>
  <c r="ADB622" i="1" s="1"/>
  <c r="RG623" i="1"/>
  <c r="RH628" i="1" s="1"/>
  <c r="T480" i="1" s="1"/>
  <c r="US623" i="1"/>
  <c r="UT628" i="1" s="1"/>
  <c r="T455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36" i="1" s="1"/>
  <c r="AAY617" i="1"/>
  <c r="AAZ622" i="1" s="1"/>
  <c r="P483" i="1" s="1"/>
  <c r="EC623" i="1"/>
  <c r="ED628" i="1" s="1"/>
  <c r="HF623" i="1"/>
  <c r="HG628" i="1" s="1"/>
  <c r="T431" i="1" s="1"/>
  <c r="AAG623" i="1"/>
  <c r="AAH628" i="1" s="1"/>
  <c r="T475" i="1" s="1"/>
  <c r="FD629" i="1"/>
  <c r="FE634" i="1" s="1"/>
  <c r="X430" i="1" s="1"/>
  <c r="ACR629" i="1"/>
  <c r="ACS634" i="1" s="1"/>
  <c r="ADA629" i="1"/>
  <c r="ADB634" i="1" s="1"/>
  <c r="FD635" i="1"/>
  <c r="FE640" i="1" s="1"/>
  <c r="AB433" i="1" s="1"/>
  <c r="QO635" i="1"/>
  <c r="QP640" i="1" s="1"/>
  <c r="AB403" i="1" s="1"/>
  <c r="RG635" i="1"/>
  <c r="RH640" i="1" s="1"/>
  <c r="AB427" i="1" s="1"/>
  <c r="VK635" i="1"/>
  <c r="VL640" i="1" s="1"/>
  <c r="AB483" i="1" s="1"/>
  <c r="WD640" i="1"/>
  <c r="ZP640" i="1"/>
  <c r="AB412" i="1" s="1"/>
  <c r="OE640" i="1"/>
  <c r="AB487" i="1" s="1"/>
  <c r="YX640" i="1"/>
  <c r="AAP635" i="1"/>
  <c r="AAQ640" i="1" s="1"/>
  <c r="AB444" i="1" s="1"/>
  <c r="ABQ635" i="1"/>
  <c r="ABR640" i="1" s="1"/>
  <c r="AB465" i="1" s="1"/>
  <c r="ACI635" i="1"/>
  <c r="ACJ640" i="1" s="1"/>
  <c r="QO641" i="1"/>
  <c r="QP646" i="1" s="1"/>
  <c r="AF447" i="1" s="1"/>
  <c r="ZX641" i="1"/>
  <c r="ZY646" i="1" s="1"/>
  <c r="AF409" i="1" s="1"/>
  <c r="AAY641" i="1"/>
  <c r="AAZ646" i="1" s="1"/>
  <c r="AF483" i="1" s="1"/>
  <c r="ABQ641" i="1"/>
  <c r="ABR646" i="1" s="1"/>
  <c r="AF477" i="1" s="1"/>
  <c r="XN646" i="1"/>
  <c r="AF404" i="1" s="1"/>
  <c r="YX646" i="1"/>
  <c r="AAG647" i="1"/>
  <c r="AAH652" i="1" s="1"/>
  <c r="AJ476" i="1" s="1"/>
  <c r="ABZ647" i="1"/>
  <c r="ACA652" i="1" s="1"/>
  <c r="AJ480" i="1" s="1"/>
  <c r="RQ646" i="1"/>
  <c r="WD646" i="1"/>
  <c r="ACR641" i="1"/>
  <c r="ACS646" i="1" s="1"/>
  <c r="QO647" i="1"/>
  <c r="QP652" i="1" s="1"/>
  <c r="AJ404" i="1" s="1"/>
  <c r="ABQ647" i="1"/>
  <c r="ABR652" i="1" s="1"/>
  <c r="AJ428" i="1" s="1"/>
  <c r="FD653" i="1"/>
  <c r="FE658" i="1" s="1"/>
  <c r="AN457" i="1" s="1"/>
  <c r="UA653" i="1"/>
  <c r="UB658" i="1" s="1"/>
  <c r="AN450" i="1" s="1"/>
  <c r="AAY653" i="1"/>
  <c r="AAZ658" i="1" s="1"/>
  <c r="AN417" i="1" s="1"/>
  <c r="ABZ653" i="1"/>
  <c r="ACA658" i="1" s="1"/>
  <c r="AN414" i="1" s="1"/>
  <c r="WD658" i="1"/>
  <c r="UA659" i="1"/>
  <c r="UB664" i="1" s="1"/>
  <c r="AR424" i="1" s="1"/>
  <c r="US659" i="1"/>
  <c r="UT664" i="1" s="1"/>
  <c r="AR398" i="1" s="1"/>
  <c r="VK659" i="1"/>
  <c r="VL664" i="1" s="1"/>
  <c r="AR452" i="1" s="1"/>
  <c r="ABH659" i="1"/>
  <c r="ABI664" i="1" s="1"/>
  <c r="ABZ659" i="1"/>
  <c r="ACA664" i="1" s="1"/>
  <c r="AR456" i="1" s="1"/>
  <c r="ADA659" i="1"/>
  <c r="ADB664" i="1" s="1"/>
  <c r="FD659" i="1"/>
  <c r="FE664" i="1" s="1"/>
  <c r="AR391" i="1" s="1"/>
  <c r="HF659" i="1"/>
  <c r="HG664" i="1" s="1"/>
  <c r="AR445" i="1" s="1"/>
  <c r="QO659" i="1"/>
  <c r="QP664" i="1" s="1"/>
  <c r="AR438" i="1" s="1"/>
  <c r="ZP664" i="1"/>
  <c r="AR474" i="1" s="1"/>
  <c r="ABQ659" i="1"/>
  <c r="ABR664" i="1" s="1"/>
  <c r="AR448" i="1" s="1"/>
  <c r="ACR659" i="1"/>
  <c r="ACS664" i="1" s="1"/>
  <c r="OE670" i="1"/>
  <c r="AV484" i="1" s="1"/>
  <c r="ZX665" i="1"/>
  <c r="ZY670" i="1" s="1"/>
  <c r="AV449" i="1" s="1"/>
  <c r="ACR665" i="1"/>
  <c r="ACS670" i="1" s="1"/>
  <c r="RQ670" i="1"/>
  <c r="VK665" i="1"/>
  <c r="VL670" i="1" s="1"/>
  <c r="AV453" i="1" s="1"/>
  <c r="WD670" i="1"/>
  <c r="ABH665" i="1"/>
  <c r="ABI670" i="1" s="1"/>
  <c r="ZP604" i="1"/>
  <c r="D400" i="1" s="1"/>
  <c r="OD672" i="1"/>
  <c r="P102" i="1" s="1"/>
  <c r="RP672" i="1"/>
  <c r="WC672" i="1"/>
  <c r="L366" i="1" s="1"/>
  <c r="XM672" i="1"/>
  <c r="P62" i="1" s="1"/>
  <c r="RQ604" i="1"/>
  <c r="ZG616" i="1"/>
  <c r="L438" i="1" s="1"/>
  <c r="YW672" i="1"/>
  <c r="WD604" i="1"/>
  <c r="XN604" i="1"/>
  <c r="D477" i="1" s="1"/>
  <c r="YX604" i="1"/>
  <c r="ZP610" i="1"/>
  <c r="H402" i="1" s="1"/>
  <c r="ZP616" i="1"/>
  <c r="L417" i="1" s="1"/>
  <c r="ZF672" i="1"/>
  <c r="P63" i="1" s="1"/>
  <c r="OE604" i="1"/>
  <c r="D489" i="1" s="1"/>
  <c r="ZG604" i="1"/>
  <c r="D407" i="1" s="1"/>
  <c r="ZG646" i="1"/>
  <c r="AF413" i="1" s="1"/>
  <c r="FD647" i="1"/>
  <c r="FE652" i="1" s="1"/>
  <c r="AJ405" i="1" s="1"/>
  <c r="VK647" i="1"/>
  <c r="VL652" i="1" s="1"/>
  <c r="AJ468" i="1" s="1"/>
  <c r="AAP647" i="1"/>
  <c r="AAQ652" i="1" s="1"/>
  <c r="AJ444" i="1" s="1"/>
  <c r="ACI653" i="1"/>
  <c r="ACJ658" i="1" s="1"/>
  <c r="RQ664" i="1"/>
  <c r="HF665" i="1"/>
  <c r="HG670" i="1" s="1"/>
  <c r="AV446" i="1" s="1"/>
  <c r="QO665" i="1"/>
  <c r="QP670" i="1" s="1"/>
  <c r="AV399" i="1" s="1"/>
  <c r="AAG665" i="1"/>
  <c r="AAH670" i="1" s="1"/>
  <c r="AV490" i="1" s="1"/>
  <c r="ABQ665" i="1"/>
  <c r="ABR670" i="1" s="1"/>
  <c r="AV434" i="1" s="1"/>
  <c r="YX670" i="1"/>
  <c r="ZG670" i="1"/>
  <c r="AV412" i="1" s="1"/>
  <c r="P369" i="1" l="1"/>
  <c r="T356" i="1"/>
  <c r="G76" i="1"/>
  <c r="G27" i="1"/>
  <c r="ABZ672" i="1"/>
  <c r="P85" i="1" s="1"/>
  <c r="ABQ672" i="1"/>
  <c r="P95" i="1" s="1"/>
  <c r="AAY672" i="1"/>
  <c r="P83" i="1" s="1"/>
  <c r="AAP672" i="1"/>
  <c r="P16" i="1" s="1"/>
  <c r="AAG672" i="1"/>
  <c r="P36" i="1" s="1"/>
  <c r="ZX672" i="1"/>
  <c r="P60" i="1" s="1"/>
  <c r="US672" i="1"/>
  <c r="P80" i="1" s="1"/>
  <c r="FD672" i="1"/>
  <c r="P88" i="1" s="1"/>
  <c r="QO672" i="1"/>
  <c r="P20" i="1" s="1"/>
  <c r="RG672" i="1"/>
  <c r="P71" i="1" s="1"/>
  <c r="G102" i="1"/>
  <c r="G17" i="1"/>
  <c r="HF672" i="1"/>
  <c r="P100" i="1" s="1"/>
  <c r="AAZ604" i="1"/>
  <c r="D486" i="1" s="1"/>
  <c r="FE604" i="1"/>
  <c r="D468" i="1" s="1"/>
  <c r="VK672" i="1"/>
  <c r="P86" i="1" s="1"/>
  <c r="ACS604" i="1"/>
  <c r="ADA672" i="1"/>
  <c r="QP604" i="1"/>
  <c r="D462" i="1" s="1"/>
  <c r="ACA604" i="1"/>
  <c r="D423" i="1" s="1"/>
  <c r="UT604" i="1"/>
  <c r="D432" i="1" s="1"/>
  <c r="AAQ604" i="1"/>
  <c r="D474" i="1" s="1"/>
  <c r="HG604" i="1"/>
  <c r="D413" i="1" s="1"/>
  <c r="ED604" i="1"/>
  <c r="ABR604" i="1"/>
  <c r="D487" i="1" s="1"/>
  <c r="ABI604" i="1"/>
  <c r="ACJ604" i="1"/>
  <c r="ZY604" i="1"/>
  <c r="D454" i="1" s="1"/>
  <c r="RH604" i="1"/>
  <c r="D429" i="1" s="1"/>
  <c r="AAH604" i="1"/>
  <c r="D480" i="1" s="1"/>
  <c r="UA672" i="1"/>
  <c r="P79" i="1" s="1"/>
  <c r="T380" i="1" l="1"/>
  <c r="D358" i="1"/>
  <c r="T372" i="1"/>
  <c r="T386" i="1"/>
  <c r="T378" i="1"/>
  <c r="T384" i="1"/>
  <c r="T379" i="1"/>
  <c r="G88" i="1"/>
  <c r="G22" i="1"/>
  <c r="G26" i="1"/>
  <c r="G87" i="1"/>
  <c r="G96" i="1"/>
  <c r="G49" i="1"/>
  <c r="G25" i="1"/>
  <c r="G86" i="1"/>
  <c r="G92" i="1"/>
  <c r="G72" i="1"/>
  <c r="G71" i="1"/>
  <c r="G73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6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29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8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6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6" i="1" s="1"/>
  <c r="XW670" i="1"/>
  <c r="AV407" i="1" s="1"/>
  <c r="GF664" i="1"/>
  <c r="AR413" i="1" s="1"/>
  <c r="YF670" i="1"/>
  <c r="AV408" i="1" s="1"/>
  <c r="AEC628" i="1"/>
  <c r="AEU616" i="1"/>
  <c r="YF664" i="1"/>
  <c r="AR409" i="1" s="1"/>
  <c r="AEU670" i="1"/>
  <c r="XE640" i="1"/>
  <c r="ADK640" i="1"/>
  <c r="KS634" i="1"/>
  <c r="X415" i="1" s="1"/>
  <c r="HP670" i="1"/>
  <c r="AV416" i="1" s="1"/>
  <c r="DU652" i="1"/>
  <c r="AJ440" i="1" s="1"/>
  <c r="AEU622" i="1"/>
  <c r="AEL664" i="1"/>
  <c r="AEL640" i="1"/>
  <c r="AEU628" i="1"/>
  <c r="XE652" i="1"/>
  <c r="AEL658" i="1"/>
  <c r="ADK646" i="1"/>
  <c r="XE622" i="1"/>
  <c r="AEL610" i="1"/>
  <c r="YF634" i="1"/>
  <c r="X417" i="1" s="1"/>
  <c r="GX658" i="1"/>
  <c r="AN458" i="1" s="1"/>
  <c r="OW628" i="1"/>
  <c r="T485" i="1" s="1"/>
  <c r="DU664" i="1"/>
  <c r="AR477" i="1" s="1"/>
  <c r="IH664" i="1"/>
  <c r="KS640" i="1"/>
  <c r="AB475" i="1" s="1"/>
  <c r="AEC658" i="1"/>
  <c r="OW634" i="1"/>
  <c r="X463" i="1" s="1"/>
  <c r="OW646" i="1"/>
  <c r="AF440" i="1" s="1"/>
  <c r="AEL670" i="1"/>
  <c r="HP664" i="1"/>
  <c r="AR415" i="1" s="1"/>
  <c r="YF652" i="1"/>
  <c r="AJ469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399" i="1" s="1"/>
  <c r="WM634" i="1"/>
  <c r="X487" i="1" s="1"/>
  <c r="XE646" i="1"/>
  <c r="GF658" i="1"/>
  <c r="AN446" i="1" s="1"/>
  <c r="WM616" i="1"/>
  <c r="L459" i="1" s="1"/>
  <c r="IH658" i="1"/>
  <c r="DU634" i="1"/>
  <c r="X454" i="1" s="1"/>
  <c r="AEK672" i="1"/>
  <c r="AEL604" i="1"/>
  <c r="YF616" i="1"/>
  <c r="L425" i="1" s="1"/>
  <c r="WM670" i="1"/>
  <c r="AV483" i="1" s="1"/>
  <c r="AEC604" i="1"/>
  <c r="AEB672" i="1"/>
  <c r="IH670" i="1"/>
  <c r="TJ634" i="1"/>
  <c r="X462" i="1" s="1"/>
  <c r="HP616" i="1"/>
  <c r="L467" i="1" s="1"/>
  <c r="HP634" i="1"/>
  <c r="X447" i="1" s="1"/>
  <c r="XE658" i="1"/>
  <c r="KS652" i="1"/>
  <c r="AJ418" i="1" s="1"/>
  <c r="TJ664" i="1"/>
  <c r="AR480" i="1" s="1"/>
  <c r="XE610" i="1"/>
  <c r="DU604" i="1"/>
  <c r="D414" i="1" s="1"/>
  <c r="DT672" i="1"/>
  <c r="P45" i="1" s="1"/>
  <c r="WL672" i="1"/>
  <c r="P97" i="1" s="1"/>
  <c r="WM604" i="1"/>
  <c r="D483" i="1" s="1"/>
  <c r="ADK616" i="1"/>
  <c r="IH652" i="1"/>
  <c r="TJ646" i="1"/>
  <c r="AF418" i="1" s="1"/>
  <c r="WM640" i="1"/>
  <c r="AB442" i="1" s="1"/>
  <c r="GF634" i="1"/>
  <c r="X393" i="1" s="1"/>
  <c r="GX664" i="1"/>
  <c r="AR414" i="1" s="1"/>
  <c r="IH640" i="1"/>
  <c r="DU610" i="1"/>
  <c r="H434" i="1" s="1"/>
  <c r="TJ610" i="1"/>
  <c r="H427" i="1" s="1"/>
  <c r="ADK664" i="1"/>
  <c r="GF622" i="1"/>
  <c r="P460" i="1" s="1"/>
  <c r="KS646" i="1"/>
  <c r="AF448" i="1" s="1"/>
  <c r="GF616" i="1"/>
  <c r="L460" i="1" s="1"/>
  <c r="OW604" i="1"/>
  <c r="D471" i="1" s="1"/>
  <c r="OV672" i="1"/>
  <c r="P73" i="1" s="1"/>
  <c r="GF640" i="1"/>
  <c r="AB406" i="1" s="1"/>
  <c r="DU670" i="1"/>
  <c r="AV419" i="1" s="1"/>
  <c r="DU628" i="1"/>
  <c r="T402" i="1" s="1"/>
  <c r="KS658" i="1"/>
  <c r="AN411" i="1" s="1"/>
  <c r="HP622" i="1"/>
  <c r="P407" i="1" s="1"/>
  <c r="DU658" i="1"/>
  <c r="AN471" i="1" s="1"/>
  <c r="TJ658" i="1"/>
  <c r="AN406" i="1" s="1"/>
  <c r="GX670" i="1"/>
  <c r="AV404" i="1" s="1"/>
  <c r="ADK628" i="1"/>
  <c r="XE628" i="1"/>
  <c r="HP652" i="1"/>
  <c r="AJ392" i="1" s="1"/>
  <c r="ADK604" i="1"/>
  <c r="ADJ672" i="1"/>
  <c r="YF604" i="1"/>
  <c r="D391" i="1" s="1"/>
  <c r="YE672" i="1"/>
  <c r="P9" i="1" s="1"/>
  <c r="DU646" i="1"/>
  <c r="AF453" i="1" s="1"/>
  <c r="GX640" i="1"/>
  <c r="AB416" i="1" s="1"/>
  <c r="YF640" i="1"/>
  <c r="AB420" i="1" s="1"/>
  <c r="XE664" i="1"/>
  <c r="HP628" i="1"/>
  <c r="T476" i="1" s="1"/>
  <c r="TJ640" i="1"/>
  <c r="AB449" i="1" s="1"/>
  <c r="OW610" i="1"/>
  <c r="H479" i="1" s="1"/>
  <c r="HP610" i="1"/>
  <c r="H429" i="1" s="1"/>
  <c r="WM610" i="1"/>
  <c r="H469" i="1" s="1"/>
  <c r="WM664" i="1"/>
  <c r="AR470" i="1" s="1"/>
  <c r="DU622" i="1"/>
  <c r="P414" i="1" s="1"/>
  <c r="ADK670" i="1"/>
  <c r="KS604" i="1"/>
  <c r="D446" i="1" s="1"/>
  <c r="KR672" i="1"/>
  <c r="P41" i="1" s="1"/>
  <c r="XE616" i="1"/>
  <c r="TI672" i="1"/>
  <c r="P70" i="1" s="1"/>
  <c r="TJ604" i="1"/>
  <c r="D430" i="1" s="1"/>
  <c r="OW670" i="1"/>
  <c r="AV417" i="1" s="1"/>
  <c r="WM628" i="1"/>
  <c r="T482" i="1" s="1"/>
  <c r="GX634" i="1"/>
  <c r="X405" i="1" s="1"/>
  <c r="WM658" i="1"/>
  <c r="AN479" i="1" s="1"/>
  <c r="GX628" i="1"/>
  <c r="T404" i="1" s="1"/>
  <c r="HO672" i="1"/>
  <c r="P42" i="1" s="1"/>
  <c r="HP604" i="1"/>
  <c r="D420" i="1" s="1"/>
  <c r="XD672" i="1"/>
  <c r="XE604" i="1"/>
  <c r="DU616" i="1"/>
  <c r="L423" i="1" s="1"/>
  <c r="IH634" i="1"/>
  <c r="KS616" i="1"/>
  <c r="L468" i="1" s="1"/>
  <c r="WM646" i="1"/>
  <c r="AF488" i="1" s="1"/>
  <c r="DU640" i="1"/>
  <c r="AB399" i="1" s="1"/>
  <c r="HP640" i="1"/>
  <c r="AB411" i="1" s="1"/>
  <c r="OW622" i="1"/>
  <c r="P485" i="1" s="1"/>
  <c r="ADK622" i="1"/>
  <c r="HP646" i="1"/>
  <c r="AF435" i="1" s="1"/>
  <c r="IH628" i="1"/>
  <c r="IH610" i="1"/>
  <c r="TJ616" i="1"/>
  <c r="L451" i="1" s="1"/>
  <c r="IG672" i="1"/>
  <c r="H369" i="1" s="1"/>
  <c r="IH604" i="1"/>
  <c r="OW664" i="1"/>
  <c r="AR449" i="1" s="1"/>
  <c r="TJ652" i="1"/>
  <c r="AJ403" i="1" s="1"/>
  <c r="KS622" i="1"/>
  <c r="P473" i="1" s="1"/>
  <c r="XE634" i="1"/>
  <c r="GX622" i="1"/>
  <c r="P446" i="1" s="1"/>
  <c r="GX616" i="1"/>
  <c r="L454" i="1" s="1"/>
  <c r="OW640" i="1"/>
  <c r="AB467" i="1" s="1"/>
  <c r="HP658" i="1"/>
  <c r="AN404" i="1" s="1"/>
  <c r="YF658" i="1"/>
  <c r="AN463" i="1" s="1"/>
  <c r="GF670" i="1"/>
  <c r="AV397" i="1" s="1"/>
  <c r="OW652" i="1"/>
  <c r="AJ464" i="1" s="1"/>
  <c r="TJ628" i="1"/>
  <c r="T449" i="1" s="1"/>
  <c r="GF604" i="1"/>
  <c r="D451" i="1" s="1"/>
  <c r="GE672" i="1"/>
  <c r="P87" i="1" s="1"/>
  <c r="GX604" i="1"/>
  <c r="D428" i="1" s="1"/>
  <c r="GW672" i="1"/>
  <c r="P56" i="1" s="1"/>
  <c r="OW616" i="1"/>
  <c r="L482" i="1" s="1"/>
  <c r="ADK634" i="1"/>
  <c r="GF646" i="1"/>
  <c r="AF421" i="1" s="1"/>
  <c r="YF646" i="1"/>
  <c r="AF414" i="1" s="1"/>
  <c r="IH646" i="1"/>
  <c r="KS628" i="1"/>
  <c r="T450" i="1" s="1"/>
  <c r="GX652" i="1"/>
  <c r="AJ483" i="1" s="1"/>
  <c r="GX610" i="1"/>
  <c r="H458" i="1" s="1"/>
  <c r="KS610" i="1"/>
  <c r="H419" i="1" s="1"/>
  <c r="ADK610" i="1"/>
  <c r="WM622" i="1"/>
  <c r="P490" i="1" s="1"/>
  <c r="TJ622" i="1"/>
  <c r="P415" i="1" s="1"/>
  <c r="IH616" i="1"/>
  <c r="GF610" i="1"/>
  <c r="H470" i="1" s="1"/>
  <c r="YF610" i="1"/>
  <c r="H440" i="1" s="1"/>
  <c r="GX646" i="1"/>
  <c r="AF417" i="1" s="1"/>
  <c r="OW658" i="1"/>
  <c r="AN469" i="1" s="1"/>
  <c r="IH622" i="1"/>
  <c r="ADK658" i="1"/>
  <c r="YF622" i="1"/>
  <c r="P452" i="1" s="1"/>
  <c r="ADK652" i="1"/>
  <c r="GF628" i="1"/>
  <c r="T443" i="1" s="1"/>
  <c r="WM652" i="1"/>
  <c r="AJ438" i="1" s="1"/>
  <c r="SR670" i="1"/>
  <c r="AV400" i="1" s="1"/>
  <c r="AFD670" i="1"/>
  <c r="TA664" i="1"/>
  <c r="AR469" i="1" s="1"/>
  <c r="NM664" i="1"/>
  <c r="AR454" i="1" s="1"/>
  <c r="YO670" i="1"/>
  <c r="VU664" i="1"/>
  <c r="AR455" i="1" s="1"/>
  <c r="MU670" i="1"/>
  <c r="AV436" i="1" s="1"/>
  <c r="EV670" i="1"/>
  <c r="AV414" i="1" s="1"/>
  <c r="AI664" i="1"/>
  <c r="AR418" i="1" s="1"/>
  <c r="Q658" i="1"/>
  <c r="AN464" i="1" s="1"/>
  <c r="GO664" i="1"/>
  <c r="AR486" i="1" s="1"/>
  <c r="UK670" i="1"/>
  <c r="BA670" i="1"/>
  <c r="AV454" i="1" s="1"/>
  <c r="FW664" i="1"/>
  <c r="AR426" i="1" s="1"/>
  <c r="NM658" i="1"/>
  <c r="AN470" i="1" s="1"/>
  <c r="DC664" i="1"/>
  <c r="AR400" i="1" s="1"/>
  <c r="PF670" i="1"/>
  <c r="AV392" i="1" s="1"/>
  <c r="AI670" i="1"/>
  <c r="AV405" i="1" s="1"/>
  <c r="FN664" i="1"/>
  <c r="AR419" i="1" s="1"/>
  <c r="AR664" i="1"/>
  <c r="AR392" i="1" s="1"/>
  <c r="VC664" i="1"/>
  <c r="AR423" i="1" s="1"/>
  <c r="PF664" i="1"/>
  <c r="AR416" i="1" s="1"/>
  <c r="KA664" i="1"/>
  <c r="AR451" i="1" s="1"/>
  <c r="AGE670" i="1"/>
  <c r="WV670" i="1"/>
  <c r="IQ670" i="1"/>
  <c r="AV448" i="1" s="1"/>
  <c r="QG670" i="1"/>
  <c r="AV481" i="1" s="1"/>
  <c r="JR670" i="1"/>
  <c r="AV413" i="1" s="1"/>
  <c r="VU670" i="1"/>
  <c r="AV472" i="1" s="1"/>
  <c r="Z670" i="1"/>
  <c r="AV395" i="1" s="1"/>
  <c r="CB670" i="1"/>
  <c r="AV420" i="1" s="1"/>
  <c r="EM670" i="1"/>
  <c r="AV474" i="1" s="1"/>
  <c r="GO670" i="1"/>
  <c r="AV430" i="1" s="1"/>
  <c r="KJ670" i="1"/>
  <c r="AV452" i="1" s="1"/>
  <c r="NM670" i="1"/>
  <c r="AV451" i="1" s="1"/>
  <c r="Q670" i="1"/>
  <c r="AV433" i="1" s="1"/>
  <c r="QY670" i="1"/>
  <c r="AV418" i="1" s="1"/>
  <c r="FW670" i="1"/>
  <c r="AV475" i="1" s="1"/>
  <c r="H670" i="1"/>
  <c r="AV394" i="1" s="1"/>
  <c r="H664" i="1"/>
  <c r="AR407" i="1" s="1"/>
  <c r="CB664" i="1"/>
  <c r="AR412" i="1" s="1"/>
  <c r="UK664" i="1"/>
  <c r="JR664" i="1"/>
  <c r="AR447" i="1" s="1"/>
  <c r="ND664" i="1"/>
  <c r="AR475" i="1" s="1"/>
  <c r="XW664" i="1"/>
  <c r="AR397" i="1" s="1"/>
  <c r="DL664" i="1"/>
  <c r="AR439" i="1" s="1"/>
  <c r="AGN664" i="1"/>
  <c r="QY664" i="1"/>
  <c r="AR453" i="1" s="1"/>
  <c r="BJ664" i="1"/>
  <c r="AR408" i="1" s="1"/>
  <c r="Q664" i="1"/>
  <c r="AR393" i="1" s="1"/>
  <c r="BA664" i="1"/>
  <c r="AR437" i="1" s="1"/>
  <c r="IQ664" i="1"/>
  <c r="AR443" i="1" s="1"/>
  <c r="SR664" i="1"/>
  <c r="AR406" i="1" s="1"/>
  <c r="CK664" i="1"/>
  <c r="AR394" i="1" s="1"/>
  <c r="Z664" i="1"/>
  <c r="AR401" i="1" s="1"/>
  <c r="NV664" i="1"/>
  <c r="AR460" i="1" s="1"/>
  <c r="PX664" i="1"/>
  <c r="MC664" i="1"/>
  <c r="AR427" i="1" s="1"/>
  <c r="BS664" i="1"/>
  <c r="AR405" i="1" s="1"/>
  <c r="PO664" i="1"/>
  <c r="AR410" i="1" s="1"/>
  <c r="EM664" i="1"/>
  <c r="AR432" i="1" s="1"/>
  <c r="EM658" i="1"/>
  <c r="AN433" i="1" s="1"/>
  <c r="UK640" i="1"/>
  <c r="CK670" i="1"/>
  <c r="AV442" i="1" s="1"/>
  <c r="QY640" i="1"/>
  <c r="AB474" i="1" s="1"/>
  <c r="AHF658" i="1"/>
  <c r="AN455" i="1" s="1"/>
  <c r="JR658" i="1"/>
  <c r="AN486" i="1" s="1"/>
  <c r="CB658" i="1"/>
  <c r="AN398" i="1" s="1"/>
  <c r="UK658" i="1"/>
  <c r="FW658" i="1"/>
  <c r="AN423" i="1" s="1"/>
  <c r="ON658" i="1"/>
  <c r="AN452" i="1" s="1"/>
  <c r="Z658" i="1"/>
  <c r="AN477" i="1" s="1"/>
  <c r="SR658" i="1"/>
  <c r="AN424" i="1" s="1"/>
  <c r="DC658" i="1"/>
  <c r="AN419" i="1" s="1"/>
  <c r="ND658" i="1"/>
  <c r="AN413" i="1" s="1"/>
  <c r="BJ658" i="1"/>
  <c r="AN431" i="1" s="1"/>
  <c r="AGW658" i="1"/>
  <c r="FN652" i="1"/>
  <c r="AJ443" i="1" s="1"/>
  <c r="XW652" i="1"/>
  <c r="AJ406" i="1" s="1"/>
  <c r="NM652" i="1"/>
  <c r="AJ455" i="1" s="1"/>
  <c r="AHF652" i="1"/>
  <c r="AJ419" i="1" s="1"/>
  <c r="AR634" i="1"/>
  <c r="X407" i="1" s="1"/>
  <c r="BJ670" i="1"/>
  <c r="AV437" i="1" s="1"/>
  <c r="AHF640" i="1"/>
  <c r="AB472" i="1" s="1"/>
  <c r="PO670" i="1"/>
  <c r="AV406" i="1" s="1"/>
  <c r="MU640" i="1"/>
  <c r="AB404" i="1" s="1"/>
  <c r="CT640" i="1"/>
  <c r="AB421" i="1" s="1"/>
  <c r="JR634" i="1"/>
  <c r="X435" i="1" s="1"/>
  <c r="UK634" i="1"/>
  <c r="BJ640" i="1"/>
  <c r="AB470" i="1" s="1"/>
  <c r="VU658" i="1"/>
  <c r="AN472" i="1" s="1"/>
  <c r="BA652" i="1"/>
  <c r="AJ451" i="1" s="1"/>
  <c r="AFM670" i="1"/>
  <c r="XW658" i="1"/>
  <c r="AN428" i="1" s="1"/>
  <c r="ADT664" i="1"/>
  <c r="LT634" i="1"/>
  <c r="X397" i="1" s="1"/>
  <c r="JI610" i="1"/>
  <c r="H472" i="1" s="1"/>
  <c r="VC628" i="1"/>
  <c r="T464" i="1" s="1"/>
  <c r="MU652" i="1"/>
  <c r="AJ415" i="1" s="1"/>
  <c r="JI670" i="1"/>
  <c r="AV447" i="1" s="1"/>
  <c r="WV646" i="1"/>
  <c r="HY628" i="1"/>
  <c r="T440" i="1" s="1"/>
  <c r="UK628" i="1"/>
  <c r="KA670" i="1"/>
  <c r="AV421" i="1" s="1"/>
  <c r="DL616" i="1"/>
  <c r="L484" i="1" s="1"/>
  <c r="AI616" i="1"/>
  <c r="L471" i="1" s="1"/>
  <c r="TS670" i="1"/>
  <c r="AV445" i="1" s="1"/>
  <c r="QG622" i="1"/>
  <c r="P461" i="1" s="1"/>
  <c r="MC652" i="1"/>
  <c r="AJ447" i="1" s="1"/>
  <c r="AGE640" i="1"/>
  <c r="VC670" i="1"/>
  <c r="AV426" i="1" s="1"/>
  <c r="HY646" i="1"/>
  <c r="AF490" i="1" s="1"/>
  <c r="YO652" i="1"/>
  <c r="BJ616" i="1"/>
  <c r="L456" i="1" s="1"/>
  <c r="KA616" i="1"/>
  <c r="L409" i="1" s="1"/>
  <c r="LK664" i="1"/>
  <c r="AR463" i="1" s="1"/>
  <c r="SI640" i="1"/>
  <c r="AB409" i="1" s="1"/>
  <c r="IZ670" i="1"/>
  <c r="AV465" i="1" s="1"/>
  <c r="VC652" i="1"/>
  <c r="AJ482" i="1" s="1"/>
  <c r="YO646" i="1"/>
  <c r="CT646" i="1"/>
  <c r="AF391" i="1" s="1"/>
  <c r="AR652" i="1"/>
  <c r="AJ397" i="1" s="1"/>
  <c r="PX628" i="1"/>
  <c r="H652" i="1"/>
  <c r="AJ474" i="1" s="1"/>
  <c r="ADT652" i="1"/>
  <c r="JI646" i="1"/>
  <c r="AF430" i="1" s="1"/>
  <c r="RZ664" i="1"/>
  <c r="AR417" i="1" s="1"/>
  <c r="IZ646" i="1"/>
  <c r="AF415" i="1" s="1"/>
  <c r="TS652" i="1"/>
  <c r="AJ461" i="1" s="1"/>
  <c r="AGN652" i="1"/>
  <c r="BJ652" i="1"/>
  <c r="AJ442" i="1" s="1"/>
  <c r="AFV634" i="1"/>
  <c r="AGN634" i="1"/>
  <c r="VU628" i="1"/>
  <c r="T426" i="1" s="1"/>
  <c r="LB664" i="1"/>
  <c r="AR429" i="1" s="1"/>
  <c r="KJ664" i="1"/>
  <c r="AR476" i="1" s="1"/>
  <c r="GO616" i="1"/>
  <c r="L480" i="1" s="1"/>
  <c r="ND616" i="1"/>
  <c r="L463" i="1" s="1"/>
  <c r="AFD640" i="1"/>
  <c r="KA610" i="1"/>
  <c r="H406" i="1" s="1"/>
  <c r="AFV652" i="1"/>
  <c r="VC616" i="1"/>
  <c r="L448" i="1" s="1"/>
  <c r="KA640" i="1"/>
  <c r="AB454" i="1" s="1"/>
  <c r="TA640" i="1"/>
  <c r="AB490" i="1" s="1"/>
  <c r="PF640" i="1"/>
  <c r="AB410" i="1" s="1"/>
  <c r="Z646" i="1"/>
  <c r="AF425" i="1" s="1"/>
  <c r="AFV670" i="1"/>
  <c r="ND670" i="1"/>
  <c r="AV398" i="1" s="1"/>
  <c r="AFD634" i="1"/>
  <c r="AFM652" i="1"/>
  <c r="ON634" i="1"/>
  <c r="X461" i="1" s="1"/>
  <c r="QG628" i="1"/>
  <c r="T429" i="1" s="1"/>
  <c r="TA622" i="1"/>
  <c r="P422" i="1" s="1"/>
  <c r="QG640" i="1"/>
  <c r="AB484" i="1" s="1"/>
  <c r="YO640" i="1"/>
  <c r="YO658" i="1"/>
  <c r="KJ646" i="1"/>
  <c r="AF406" i="1" s="1"/>
  <c r="PX634" i="1"/>
  <c r="AGN670" i="1"/>
  <c r="AFD622" i="1"/>
  <c r="PO628" i="1"/>
  <c r="T459" i="1" s="1"/>
  <c r="AFM622" i="1"/>
  <c r="LK652" i="1"/>
  <c r="AJ484" i="1" s="1"/>
  <c r="ADT640" i="1"/>
  <c r="ND646" i="1"/>
  <c r="AF459" i="1" s="1"/>
  <c r="YO664" i="1"/>
  <c r="ND652" i="1"/>
  <c r="AJ409" i="1" s="1"/>
  <c r="IQ634" i="1"/>
  <c r="X434" i="1" s="1"/>
  <c r="HY616" i="1"/>
  <c r="L419" i="1" s="1"/>
  <c r="HY640" i="1"/>
  <c r="AB418" i="1" s="1"/>
  <c r="EM652" i="1"/>
  <c r="AJ470" i="1" s="1"/>
  <c r="CB640" i="1"/>
  <c r="AB447" i="1" s="1"/>
  <c r="JI628" i="1"/>
  <c r="T453" i="1" s="1"/>
  <c r="QY646" i="1"/>
  <c r="AF452" i="1" s="1"/>
  <c r="BS634" i="1"/>
  <c r="X449" i="1" s="1"/>
  <c r="PF628" i="1"/>
  <c r="T439" i="1" s="1"/>
  <c r="AGN622" i="1"/>
  <c r="LB652" i="1"/>
  <c r="AJ445" i="1" s="1"/>
  <c r="DL670" i="1"/>
  <c r="AV393" i="1" s="1"/>
  <c r="ON664" i="1"/>
  <c r="AR458" i="1" s="1"/>
  <c r="TA670" i="1"/>
  <c r="AV456" i="1" s="1"/>
  <c r="HY634" i="1"/>
  <c r="X472" i="1" s="1"/>
  <c r="BS652" i="1"/>
  <c r="AJ459" i="1" s="1"/>
  <c r="LT628" i="1"/>
  <c r="T448" i="1" s="1"/>
  <c r="MC634" i="1"/>
  <c r="X468" i="1" s="1"/>
  <c r="GO640" i="1"/>
  <c r="AB413" i="1" s="1"/>
  <c r="SR622" i="1"/>
  <c r="P439" i="1" s="1"/>
  <c r="EM622" i="1"/>
  <c r="P462" i="1" s="1"/>
  <c r="AI640" i="1"/>
  <c r="AB479" i="1" s="1"/>
  <c r="AFM640" i="1"/>
  <c r="EV640" i="1"/>
  <c r="AB434" i="1" s="1"/>
  <c r="CK640" i="1"/>
  <c r="AB405" i="1" s="1"/>
  <c r="AFD652" i="1"/>
  <c r="ADT670" i="1"/>
  <c r="QG664" i="1"/>
  <c r="AR489" i="1" s="1"/>
  <c r="FN670" i="1"/>
  <c r="AV411" i="1" s="1"/>
  <c r="CT658" i="1"/>
  <c r="AN412" i="1" s="1"/>
  <c r="ML646" i="1"/>
  <c r="AF439" i="1" s="1"/>
  <c r="AFD646" i="1"/>
  <c r="AI646" i="1"/>
  <c r="AF436" i="1" s="1"/>
  <c r="HY664" i="1"/>
  <c r="AR431" i="1" s="1"/>
  <c r="CT664" i="1"/>
  <c r="AR403" i="1" s="1"/>
  <c r="CB652" i="1"/>
  <c r="AJ395" i="1" s="1"/>
  <c r="ON646" i="1"/>
  <c r="AF474" i="1" s="1"/>
  <c r="AFD610" i="1"/>
  <c r="IQ652" i="1"/>
  <c r="AJ441" i="1" s="1"/>
  <c r="VU652" i="1"/>
  <c r="AJ425" i="1" s="1"/>
  <c r="EV634" i="1"/>
  <c r="X424" i="1" s="1"/>
  <c r="IZ628" i="1"/>
  <c r="T474" i="1" s="1"/>
  <c r="FW628" i="1"/>
  <c r="T410" i="1" s="1"/>
  <c r="RZ628" i="1"/>
  <c r="T406" i="1" s="1"/>
  <c r="MU646" i="1"/>
  <c r="AF478" i="1" s="1"/>
  <c r="LT664" i="1"/>
  <c r="AR462" i="1" s="1"/>
  <c r="EM640" i="1"/>
  <c r="AB481" i="1" s="1"/>
  <c r="AFM658" i="1"/>
  <c r="TS664" i="1"/>
  <c r="AR411" i="1" s="1"/>
  <c r="KA658" i="1"/>
  <c r="AN484" i="1" s="1"/>
  <c r="PO616" i="1"/>
  <c r="L470" i="1" s="1"/>
  <c r="PF646" i="1"/>
  <c r="AF460" i="1" s="1"/>
  <c r="GO646" i="1"/>
  <c r="AF473" i="1" s="1"/>
  <c r="ON670" i="1"/>
  <c r="AV422" i="1" s="1"/>
  <c r="CK652" i="1"/>
  <c r="AJ433" i="1" s="1"/>
  <c r="RZ646" i="1"/>
  <c r="AF431" i="1" s="1"/>
  <c r="LK634" i="1"/>
  <c r="X482" i="1" s="1"/>
  <c r="AFM634" i="1"/>
  <c r="AI634" i="1"/>
  <c r="X396" i="1" s="1"/>
  <c r="KJ634" i="1"/>
  <c r="X432" i="1" s="1"/>
  <c r="RZ640" i="1"/>
  <c r="AB425" i="1" s="1"/>
  <c r="AHF664" i="1"/>
  <c r="AR428" i="1" s="1"/>
  <c r="SI628" i="1"/>
  <c r="T395" i="1" s="1"/>
  <c r="LB640" i="1"/>
  <c r="AB394" i="1" s="1"/>
  <c r="XW610" i="1"/>
  <c r="H485" i="1" s="1"/>
  <c r="PX670" i="1"/>
  <c r="CK646" i="1"/>
  <c r="AF416" i="1" s="1"/>
  <c r="AR616" i="1"/>
  <c r="L424" i="1" s="1"/>
  <c r="BJ646" i="1"/>
  <c r="AF446" i="1" s="1"/>
  <c r="EV646" i="1"/>
  <c r="AF401" i="1" s="1"/>
  <c r="DC646" i="1"/>
  <c r="AF407" i="1" s="1"/>
  <c r="VC646" i="1"/>
  <c r="AF454" i="1" s="1"/>
  <c r="DL646" i="1"/>
  <c r="AF396" i="1" s="1"/>
  <c r="FW646" i="1"/>
  <c r="AF400" i="1" s="1"/>
  <c r="VU616" i="1"/>
  <c r="L447" i="1" s="1"/>
  <c r="RZ634" i="1"/>
  <c r="X433" i="1" s="1"/>
  <c r="SR634" i="1"/>
  <c r="X455" i="1" s="1"/>
  <c r="NV670" i="1"/>
  <c r="AV461" i="1" s="1"/>
  <c r="WV652" i="1"/>
  <c r="PF634" i="1"/>
  <c r="X392" i="1" s="1"/>
  <c r="DL634" i="1"/>
  <c r="X425" i="1" s="1"/>
  <c r="VC634" i="1"/>
  <c r="X479" i="1" s="1"/>
  <c r="NV634" i="1"/>
  <c r="X488" i="1" s="1"/>
  <c r="RZ616" i="1"/>
  <c r="L458" i="1" s="1"/>
  <c r="EV616" i="1"/>
  <c r="L437" i="1" s="1"/>
  <c r="EV628" i="1"/>
  <c r="T422" i="1" s="1"/>
  <c r="ADT616" i="1"/>
  <c r="KA622" i="1"/>
  <c r="P469" i="1" s="1"/>
  <c r="AGN628" i="1"/>
  <c r="IZ652" i="1"/>
  <c r="AJ416" i="1" s="1"/>
  <c r="IZ664" i="1"/>
  <c r="AR440" i="1" s="1"/>
  <c r="UK604" i="1"/>
  <c r="UJ672" i="1"/>
  <c r="PX640" i="1"/>
  <c r="PO640" i="1"/>
  <c r="AB464" i="1" s="1"/>
  <c r="AFV640" i="1"/>
  <c r="FN634" i="1"/>
  <c r="X444" i="1" s="1"/>
  <c r="LT652" i="1"/>
  <c r="AJ422" i="1" s="1"/>
  <c r="XW634" i="1"/>
  <c r="X400" i="1" s="1"/>
  <c r="GO634" i="1"/>
  <c r="X446" i="1" s="1"/>
  <c r="BJ634" i="1"/>
  <c r="X448" i="1" s="1"/>
  <c r="AHF628" i="1"/>
  <c r="T479" i="1" s="1"/>
  <c r="NM610" i="1"/>
  <c r="H487" i="1" s="1"/>
  <c r="NV610" i="1"/>
  <c r="H467" i="1" s="1"/>
  <c r="CT610" i="1"/>
  <c r="H484" i="1" s="1"/>
  <c r="AFD664" i="1"/>
  <c r="SI670" i="1"/>
  <c r="AV427" i="1" s="1"/>
  <c r="HY610" i="1"/>
  <c r="H410" i="1" s="1"/>
  <c r="AGE658" i="1"/>
  <c r="NV616" i="1"/>
  <c r="L486" i="1" s="1"/>
  <c r="QG616" i="1"/>
  <c r="L475" i="1" s="1"/>
  <c r="Q616" i="1"/>
  <c r="L418" i="1" s="1"/>
  <c r="AHF616" i="1"/>
  <c r="L455" i="1" s="1"/>
  <c r="NV646" i="1"/>
  <c r="AF423" i="1" s="1"/>
  <c r="AGE622" i="1"/>
  <c r="WV622" i="1"/>
  <c r="JR628" i="1"/>
  <c r="T409" i="1" s="1"/>
  <c r="BA628" i="1"/>
  <c r="T412" i="1" s="1"/>
  <c r="TA628" i="1"/>
  <c r="T484" i="1" s="1"/>
  <c r="ND628" i="1"/>
  <c r="T442" i="1" s="1"/>
  <c r="BS628" i="1"/>
  <c r="T403" i="1" s="1"/>
  <c r="FN604" i="1"/>
  <c r="D422" i="1" s="1"/>
  <c r="FM672" i="1"/>
  <c r="P49" i="1" s="1"/>
  <c r="UK646" i="1"/>
  <c r="AGV672" i="1"/>
  <c r="AGW604" i="1"/>
  <c r="CT670" i="1"/>
  <c r="AV415" i="1" s="1"/>
  <c r="GN672" i="1"/>
  <c r="P35" i="1" s="1"/>
  <c r="GO604" i="1"/>
  <c r="D403" i="1" s="1"/>
  <c r="JI604" i="1"/>
  <c r="D405" i="1" s="1"/>
  <c r="JH672" i="1"/>
  <c r="P26" i="1" s="1"/>
  <c r="ADS672" i="1"/>
  <c r="ADT604" i="1"/>
  <c r="CK604" i="1"/>
  <c r="D402" i="1" s="1"/>
  <c r="CJ672" i="1"/>
  <c r="P64" i="1" s="1"/>
  <c r="NV604" i="1"/>
  <c r="D438" i="1" s="1"/>
  <c r="NU672" i="1"/>
  <c r="P29" i="1" s="1"/>
  <c r="CA672" i="1"/>
  <c r="P39" i="1" s="1"/>
  <c r="CB604" i="1"/>
  <c r="D443" i="1" s="1"/>
  <c r="PW672" i="1"/>
  <c r="L369" i="1" s="1"/>
  <c r="PX604" i="1"/>
  <c r="LB604" i="1"/>
  <c r="D398" i="1" s="1"/>
  <c r="LA672" i="1"/>
  <c r="P11" i="1" s="1"/>
  <c r="AFC672" i="1"/>
  <c r="AFD604" i="1"/>
  <c r="AI622" i="1"/>
  <c r="P457" i="1" s="1"/>
  <c r="PF622" i="1"/>
  <c r="P442" i="1" s="1"/>
  <c r="ADT622" i="1"/>
  <c r="JR622" i="1"/>
  <c r="P470" i="1" s="1"/>
  <c r="H622" i="1"/>
  <c r="P393" i="1" s="1"/>
  <c r="EV622" i="1"/>
  <c r="P394" i="1" s="1"/>
  <c r="JI622" i="1"/>
  <c r="P440" i="1" s="1"/>
  <c r="MC658" i="1"/>
  <c r="AN461" i="1" s="1"/>
  <c r="AHF604" i="1"/>
  <c r="D479" i="1" s="1"/>
  <c r="AHE672" i="1"/>
  <c r="P46" i="1" s="1"/>
  <c r="AR670" i="1"/>
  <c r="AV410" i="1" s="1"/>
  <c r="BA610" i="1"/>
  <c r="H445" i="1" s="1"/>
  <c r="LT610" i="1"/>
  <c r="H452" i="1" s="1"/>
  <c r="ADT610" i="1"/>
  <c r="Z610" i="1"/>
  <c r="H463" i="1" s="1"/>
  <c r="ND610" i="1"/>
  <c r="H414" i="1" s="1"/>
  <c r="TA610" i="1"/>
  <c r="H413" i="1" s="1"/>
  <c r="CB610" i="1"/>
  <c r="H430" i="1" s="1"/>
  <c r="FW610" i="1"/>
  <c r="H411" i="1" s="1"/>
  <c r="ML652" i="1"/>
  <c r="AJ396" i="1" s="1"/>
  <c r="CT652" i="1"/>
  <c r="AJ460" i="1" s="1"/>
  <c r="LT670" i="1"/>
  <c r="AV439" i="1" s="1"/>
  <c r="LT658" i="1"/>
  <c r="AN401" i="1" s="1"/>
  <c r="RZ658" i="1"/>
  <c r="AN396" i="1" s="1"/>
  <c r="IQ658" i="1"/>
  <c r="AN473" i="1" s="1"/>
  <c r="PO658" i="1"/>
  <c r="AN453" i="1" s="1"/>
  <c r="AFV658" i="1"/>
  <c r="MC646" i="1"/>
  <c r="AF486" i="1" s="1"/>
  <c r="XV672" i="1"/>
  <c r="P50" i="1" s="1"/>
  <c r="XW604" i="1"/>
  <c r="D435" i="1" s="1"/>
  <c r="AGW628" i="1"/>
  <c r="YO634" i="1"/>
  <c r="Z652" i="1"/>
  <c r="AJ471" i="1" s="1"/>
  <c r="Q652" i="1"/>
  <c r="AJ399" i="1" s="1"/>
  <c r="LT640" i="1"/>
  <c r="AB392" i="1" s="1"/>
  <c r="TS634" i="1"/>
  <c r="X404" i="1" s="1"/>
  <c r="XW616" i="1"/>
  <c r="L432" i="1" s="1"/>
  <c r="MU634" i="1"/>
  <c r="X475" i="1" s="1"/>
  <c r="FN628" i="1"/>
  <c r="T456" i="1" s="1"/>
  <c r="AFU672" i="1"/>
  <c r="AFV604" i="1"/>
  <c r="WV604" i="1"/>
  <c r="WU672" i="1"/>
  <c r="L368" i="1" s="1"/>
  <c r="YO628" i="1"/>
  <c r="H646" i="1"/>
  <c r="AF450" i="1" s="1"/>
  <c r="PX646" i="1"/>
  <c r="VU646" i="1"/>
  <c r="AF405" i="1" s="1"/>
  <c r="LB646" i="1"/>
  <c r="AF445" i="1" s="1"/>
  <c r="AFD628" i="1"/>
  <c r="PO652" i="1"/>
  <c r="AJ463" i="1" s="1"/>
  <c r="DL652" i="1"/>
  <c r="AJ417" i="1" s="1"/>
  <c r="YO622" i="1"/>
  <c r="CB634" i="1"/>
  <c r="X431" i="1" s="1"/>
  <c r="TA634" i="1"/>
  <c r="X483" i="1" s="1"/>
  <c r="VU634" i="1"/>
  <c r="X391" i="1" s="1"/>
  <c r="H634" i="1"/>
  <c r="X401" i="1" s="1"/>
  <c r="ML634" i="1"/>
  <c r="X403" i="1" s="1"/>
  <c r="NM628" i="1"/>
  <c r="T428" i="1" s="1"/>
  <c r="SR628" i="1"/>
  <c r="T407" i="1" s="1"/>
  <c r="TA616" i="1"/>
  <c r="L490" i="1" s="1"/>
  <c r="UK652" i="1"/>
  <c r="PF652" i="1"/>
  <c r="AJ475" i="1" s="1"/>
  <c r="AGN640" i="1"/>
  <c r="BA640" i="1"/>
  <c r="AB451" i="1" s="1"/>
  <c r="TS646" i="1"/>
  <c r="AF469" i="1" s="1"/>
  <c r="KA634" i="1"/>
  <c r="X422" i="1" s="1"/>
  <c r="CT634" i="1"/>
  <c r="X460" i="1" s="1"/>
  <c r="NM634" i="1"/>
  <c r="X451" i="1" s="1"/>
  <c r="EM646" i="1"/>
  <c r="AF443" i="1" s="1"/>
  <c r="BA616" i="1"/>
  <c r="L421" i="1" s="1"/>
  <c r="AFM616" i="1"/>
  <c r="LK616" i="1"/>
  <c r="L427" i="1" s="1"/>
  <c r="JI664" i="1"/>
  <c r="AR485" i="1" s="1"/>
  <c r="AGE664" i="1"/>
  <c r="FN658" i="1"/>
  <c r="AN430" i="1" s="1"/>
  <c r="SI610" i="1"/>
  <c r="H401" i="1" s="1"/>
  <c r="VC610" i="1"/>
  <c r="H444" i="1" s="1"/>
  <c r="DL610" i="1"/>
  <c r="H442" i="1" s="1"/>
  <c r="KA646" i="1"/>
  <c r="AF472" i="1" s="1"/>
  <c r="GO610" i="1"/>
  <c r="H421" i="1" s="1"/>
  <c r="DC628" i="1"/>
  <c r="T396" i="1" s="1"/>
  <c r="Z634" i="1"/>
  <c r="X418" i="1" s="1"/>
  <c r="JI616" i="1"/>
  <c r="L428" i="1" s="1"/>
  <c r="SR616" i="1"/>
  <c r="L398" i="1" s="1"/>
  <c r="BS616" i="1"/>
  <c r="L408" i="1" s="1"/>
  <c r="Z616" i="1"/>
  <c r="L406" i="1" s="1"/>
  <c r="AGW646" i="1"/>
  <c r="RZ622" i="1"/>
  <c r="P404" i="1" s="1"/>
  <c r="AGW622" i="1"/>
  <c r="BS622" i="1"/>
  <c r="P445" i="1" s="1"/>
  <c r="LT622" i="1"/>
  <c r="P391" i="1" s="1"/>
  <c r="CT628" i="1"/>
  <c r="T420" i="1" s="1"/>
  <c r="CK628" i="1"/>
  <c r="T467" i="1" s="1"/>
  <c r="AFM628" i="1"/>
  <c r="NV622" i="1"/>
  <c r="P417" i="1" s="1"/>
  <c r="WV658" i="1"/>
  <c r="QY622" i="1"/>
  <c r="P472" i="1" s="1"/>
  <c r="MK672" i="1"/>
  <c r="P4" i="1" s="1"/>
  <c r="ML604" i="1"/>
  <c r="D392" i="1" s="1"/>
  <c r="CS672" i="1"/>
  <c r="P90" i="1" s="1"/>
  <c r="CT604" i="1"/>
  <c r="D419" i="1" s="1"/>
  <c r="VU604" i="1"/>
  <c r="D490" i="1" s="1"/>
  <c r="VT672" i="1"/>
  <c r="P101" i="1" s="1"/>
  <c r="Z640" i="1"/>
  <c r="AB441" i="1" s="1"/>
  <c r="KA604" i="1"/>
  <c r="D411" i="1" s="1"/>
  <c r="JZ672" i="1"/>
  <c r="P14" i="1" s="1"/>
  <c r="AGN604" i="1"/>
  <c r="AGM672" i="1"/>
  <c r="AH672" i="1"/>
  <c r="P91" i="1" s="1"/>
  <c r="AI604" i="1"/>
  <c r="D421" i="1" s="1"/>
  <c r="AQ672" i="1"/>
  <c r="P30" i="1" s="1"/>
  <c r="AR604" i="1"/>
  <c r="D445" i="1" s="1"/>
  <c r="OM672" i="1"/>
  <c r="P40" i="1" s="1"/>
  <c r="ON604" i="1"/>
  <c r="D401" i="1" s="1"/>
  <c r="IY672" i="1"/>
  <c r="P94" i="1" s="1"/>
  <c r="IZ604" i="1"/>
  <c r="D459" i="1" s="1"/>
  <c r="SH672" i="1"/>
  <c r="P47" i="1" s="1"/>
  <c r="SI604" i="1"/>
  <c r="D464" i="1" s="1"/>
  <c r="HX672" i="1"/>
  <c r="P84" i="1" s="1"/>
  <c r="HY604" i="1"/>
  <c r="D457" i="1" s="1"/>
  <c r="MT672" i="1"/>
  <c r="P67" i="1" s="1"/>
  <c r="MU604" i="1"/>
  <c r="D485" i="1" s="1"/>
  <c r="CB622" i="1"/>
  <c r="P482" i="1" s="1"/>
  <c r="PX622" i="1"/>
  <c r="BA622" i="1"/>
  <c r="P454" i="1" s="1"/>
  <c r="Z622" i="1"/>
  <c r="P392" i="1" s="1"/>
  <c r="IQ622" i="1"/>
  <c r="P441" i="1" s="1"/>
  <c r="ML622" i="1"/>
  <c r="P409" i="1" s="1"/>
  <c r="JR610" i="1"/>
  <c r="H488" i="1" s="1"/>
  <c r="Q640" i="1"/>
  <c r="AB459" i="1" s="1"/>
  <c r="AFV628" i="1"/>
  <c r="LB628" i="1"/>
  <c r="T489" i="1" s="1"/>
  <c r="ON628" i="1"/>
  <c r="T462" i="1" s="1"/>
  <c r="KJ640" i="1"/>
  <c r="AB440" i="1" s="1"/>
  <c r="ML610" i="1"/>
  <c r="H398" i="1" s="1"/>
  <c r="JR640" i="1"/>
  <c r="AB415" i="1" s="1"/>
  <c r="MU664" i="1"/>
  <c r="AR430" i="1" s="1"/>
  <c r="LK640" i="1"/>
  <c r="AB443" i="1" s="1"/>
  <c r="QY634" i="1"/>
  <c r="X419" i="1" s="1"/>
  <c r="SI646" i="1"/>
  <c r="AF465" i="1" s="1"/>
  <c r="SI622" i="1"/>
  <c r="P402" i="1" s="1"/>
  <c r="AGW670" i="1"/>
  <c r="BS610" i="1"/>
  <c r="H450" i="1" s="1"/>
  <c r="PO610" i="1"/>
  <c r="H457" i="1" s="1"/>
  <c r="AGN610" i="1"/>
  <c r="AR610" i="1"/>
  <c r="H417" i="1" s="1"/>
  <c r="ON610" i="1"/>
  <c r="H408" i="1" s="1"/>
  <c r="AFM610" i="1"/>
  <c r="PX610" i="1"/>
  <c r="IZ610" i="1"/>
  <c r="H478" i="1" s="1"/>
  <c r="ML616" i="1"/>
  <c r="L445" i="1" s="1"/>
  <c r="ON652" i="1"/>
  <c r="AJ426" i="1" s="1"/>
  <c r="KA652" i="1"/>
  <c r="AJ439" i="1" s="1"/>
  <c r="CK658" i="1"/>
  <c r="AN474" i="1" s="1"/>
  <c r="QY658" i="1"/>
  <c r="AN409" i="1" s="1"/>
  <c r="ML658" i="1"/>
  <c r="AN481" i="1" s="1"/>
  <c r="EV658" i="1"/>
  <c r="AN480" i="1" s="1"/>
  <c r="JI658" i="1"/>
  <c r="AN394" i="1" s="1"/>
  <c r="SI658" i="1"/>
  <c r="AN399" i="1" s="1"/>
  <c r="YO616" i="1"/>
  <c r="IQ646" i="1"/>
  <c r="AF441" i="1" s="1"/>
  <c r="XW622" i="1"/>
  <c r="P458" i="1" s="1"/>
  <c r="LK646" i="1"/>
  <c r="AF428" i="1" s="1"/>
  <c r="CT616" i="1"/>
  <c r="L477" i="1" s="1"/>
  <c r="PX616" i="1"/>
  <c r="MC616" i="1"/>
  <c r="L399" i="1" s="1"/>
  <c r="EV652" i="1"/>
  <c r="AJ424" i="1" s="1"/>
  <c r="AGW634" i="1"/>
  <c r="BA658" i="1"/>
  <c r="AN441" i="1" s="1"/>
  <c r="NV658" i="1"/>
  <c r="AN391" i="1" s="1"/>
  <c r="TA652" i="1"/>
  <c r="AJ431" i="1" s="1"/>
  <c r="ND640" i="1"/>
  <c r="AB397" i="1" s="1"/>
  <c r="KJ616" i="1"/>
  <c r="L395" i="1" s="1"/>
  <c r="ADT628" i="1"/>
  <c r="MC604" i="1"/>
  <c r="D476" i="1" s="1"/>
  <c r="MB672" i="1"/>
  <c r="P53" i="1" s="1"/>
  <c r="DC640" i="1"/>
  <c r="AB402" i="1" s="1"/>
  <c r="KJ658" i="1"/>
  <c r="AN393" i="1" s="1"/>
  <c r="IZ658" i="1"/>
  <c r="AN416" i="1" s="1"/>
  <c r="DC652" i="1"/>
  <c r="AJ430" i="1" s="1"/>
  <c r="PO646" i="1"/>
  <c r="AF420" i="1" s="1"/>
  <c r="ADT646" i="1"/>
  <c r="LT646" i="1"/>
  <c r="AF422" i="1" s="1"/>
  <c r="MU616" i="1"/>
  <c r="L473" i="1" s="1"/>
  <c r="QG652" i="1"/>
  <c r="AJ423" i="1" s="1"/>
  <c r="PX652" i="1"/>
  <c r="PO634" i="1"/>
  <c r="X413" i="1" s="1"/>
  <c r="DC634" i="1"/>
  <c r="X398" i="1" s="1"/>
  <c r="WV634" i="1"/>
  <c r="IZ616" i="1"/>
  <c r="L414" i="1" s="1"/>
  <c r="AR628" i="1"/>
  <c r="T411" i="1" s="1"/>
  <c r="MC622" i="1"/>
  <c r="P395" i="1" s="1"/>
  <c r="JR652" i="1"/>
  <c r="AJ412" i="1" s="1"/>
  <c r="QY652" i="1"/>
  <c r="AJ434" i="1" s="1"/>
  <c r="GO652" i="1"/>
  <c r="AJ462" i="1" s="1"/>
  <c r="TA646" i="1"/>
  <c r="AF489" i="1" s="1"/>
  <c r="VC640" i="1"/>
  <c r="AB460" i="1" s="1"/>
  <c r="BS640" i="1"/>
  <c r="AB393" i="1" s="1"/>
  <c r="Q634" i="1"/>
  <c r="X410" i="1" s="1"/>
  <c r="QG634" i="1"/>
  <c r="X436" i="1" s="1"/>
  <c r="ADT634" i="1"/>
  <c r="SI634" i="1"/>
  <c r="X421" i="1" s="1"/>
  <c r="AGE646" i="1"/>
  <c r="JR646" i="1"/>
  <c r="AF408" i="1" s="1"/>
  <c r="AFM646" i="1"/>
  <c r="SI616" i="1"/>
  <c r="L466" i="1" s="1"/>
  <c r="AGN616" i="1"/>
  <c r="AGE616" i="1"/>
  <c r="AHF610" i="1"/>
  <c r="H395" i="1" s="1"/>
  <c r="MC610" i="1"/>
  <c r="H425" i="1" s="1"/>
  <c r="AGW664" i="1"/>
  <c r="UK610" i="1"/>
  <c r="HY658" i="1"/>
  <c r="AN468" i="1" s="1"/>
  <c r="SI664" i="1"/>
  <c r="AR421" i="1" s="1"/>
  <c r="CB616" i="1"/>
  <c r="L433" i="1" s="1"/>
  <c r="IQ616" i="1"/>
  <c r="L440" i="1" s="1"/>
  <c r="UK616" i="1"/>
  <c r="KJ622" i="1"/>
  <c r="P448" i="1" s="1"/>
  <c r="ON622" i="1"/>
  <c r="P410" i="1" s="1"/>
  <c r="EM628" i="1"/>
  <c r="T424" i="1" s="1"/>
  <c r="Q628" i="1"/>
  <c r="T438" i="1" s="1"/>
  <c r="DL628" i="1"/>
  <c r="T447" i="1" s="1"/>
  <c r="IQ628" i="1"/>
  <c r="T393" i="1" s="1"/>
  <c r="AGE628" i="1"/>
  <c r="KA628" i="1"/>
  <c r="T413" i="1" s="1"/>
  <c r="AHF622" i="1"/>
  <c r="P488" i="1" s="1"/>
  <c r="EM604" i="1"/>
  <c r="D478" i="1" s="1"/>
  <c r="EL672" i="1"/>
  <c r="P34" i="1" s="1"/>
  <c r="YO604" i="1"/>
  <c r="YN672" i="1"/>
  <c r="IQ640" i="1"/>
  <c r="AB438" i="1" s="1"/>
  <c r="FN640" i="1"/>
  <c r="AB431" i="1" s="1"/>
  <c r="AR640" i="1"/>
  <c r="AB437" i="1" s="1"/>
  <c r="KJ652" i="1"/>
  <c r="AJ435" i="1" s="1"/>
  <c r="XW640" i="1"/>
  <c r="AB450" i="1" s="1"/>
  <c r="BS604" i="1"/>
  <c r="D427" i="1" s="1"/>
  <c r="BR672" i="1"/>
  <c r="P61" i="1" s="1"/>
  <c r="PN672" i="1"/>
  <c r="P51" i="1" s="1"/>
  <c r="PO604" i="1"/>
  <c r="D397" i="1" s="1"/>
  <c r="FV672" i="1"/>
  <c r="P32" i="1" s="1"/>
  <c r="FW604" i="1"/>
  <c r="D441" i="1" s="1"/>
  <c r="BJ604" i="1"/>
  <c r="D456" i="1" s="1"/>
  <c r="BI672" i="1"/>
  <c r="P44" i="1" s="1"/>
  <c r="QF672" i="1"/>
  <c r="P43" i="1" s="1"/>
  <c r="QG604" i="1"/>
  <c r="D472" i="1" s="1"/>
  <c r="DK672" i="1"/>
  <c r="P57" i="1" s="1"/>
  <c r="DL604" i="1"/>
  <c r="D431" i="1" s="1"/>
  <c r="JR604" i="1"/>
  <c r="D466" i="1" s="1"/>
  <c r="JQ672" i="1"/>
  <c r="P96" i="1" s="1"/>
  <c r="SZ672" i="1"/>
  <c r="P81" i="1" s="1"/>
  <c r="TA604" i="1"/>
  <c r="D488" i="1" s="1"/>
  <c r="IQ604" i="1"/>
  <c r="D433" i="1" s="1"/>
  <c r="IP672" i="1"/>
  <c r="P23" i="1" s="1"/>
  <c r="RZ604" i="1"/>
  <c r="D393" i="1" s="1"/>
  <c r="RY672" i="1"/>
  <c r="P10" i="1" s="1"/>
  <c r="FW622" i="1"/>
  <c r="P421" i="1" s="1"/>
  <c r="VC622" i="1"/>
  <c r="P489" i="1" s="1"/>
  <c r="DL622" i="1"/>
  <c r="P455" i="1" s="1"/>
  <c r="CK622" i="1"/>
  <c r="P397" i="1" s="1"/>
  <c r="LB622" i="1"/>
  <c r="P420" i="1" s="1"/>
  <c r="AR622" i="1"/>
  <c r="P400" i="1" s="1"/>
  <c r="UK622" i="1"/>
  <c r="SR610" i="1"/>
  <c r="H476" i="1" s="1"/>
  <c r="AGW640" i="1"/>
  <c r="WV640" i="1"/>
  <c r="QY628" i="1"/>
  <c r="T417" i="1" s="1"/>
  <c r="TS640" i="1"/>
  <c r="AB476" i="1" s="1"/>
  <c r="FN610" i="1"/>
  <c r="H431" i="1" s="1"/>
  <c r="AFV664" i="1"/>
  <c r="NM622" i="1"/>
  <c r="P456" i="1" s="1"/>
  <c r="MC640" i="1"/>
  <c r="AB457" i="1" s="1"/>
  <c r="WV616" i="1"/>
  <c r="DC670" i="1"/>
  <c r="AV464" i="1" s="1"/>
  <c r="LB670" i="1"/>
  <c r="AV432" i="1" s="1"/>
  <c r="EV610" i="1"/>
  <c r="H453" i="1" s="1"/>
  <c r="QG610" i="1"/>
  <c r="H449" i="1" s="1"/>
  <c r="DC610" i="1"/>
  <c r="H433" i="1" s="1"/>
  <c r="PF610" i="1"/>
  <c r="H438" i="1" s="1"/>
  <c r="RZ610" i="1"/>
  <c r="H397" i="1" s="1"/>
  <c r="Q610" i="1"/>
  <c r="H468" i="1" s="1"/>
  <c r="VU610" i="1"/>
  <c r="H486" i="1" s="1"/>
  <c r="ON616" i="1"/>
  <c r="L483" i="1" s="1"/>
  <c r="HY652" i="1"/>
  <c r="AJ449" i="1" s="1"/>
  <c r="NV652" i="1"/>
  <c r="AJ427" i="1" s="1"/>
  <c r="FW652" i="1"/>
  <c r="AJ410" i="1" s="1"/>
  <c r="LK670" i="1"/>
  <c r="AV477" i="1" s="1"/>
  <c r="HY670" i="1"/>
  <c r="AV391" i="1" s="1"/>
  <c r="AGN658" i="1"/>
  <c r="H658" i="1"/>
  <c r="AN442" i="1" s="1"/>
  <c r="PF658" i="1"/>
  <c r="AN437" i="1" s="1"/>
  <c r="GO658" i="1"/>
  <c r="AN435" i="1" s="1"/>
  <c r="AR658" i="1"/>
  <c r="AN439" i="1" s="1"/>
  <c r="LB658" i="1"/>
  <c r="AN451" i="1" s="1"/>
  <c r="VC658" i="1"/>
  <c r="AN475" i="1" s="1"/>
  <c r="SR640" i="1"/>
  <c r="AB395" i="1" s="1"/>
  <c r="ML640" i="1"/>
  <c r="AB396" i="1" s="1"/>
  <c r="AFD616" i="1"/>
  <c r="AFV616" i="1"/>
  <c r="TS628" i="1"/>
  <c r="T415" i="1" s="1"/>
  <c r="EM634" i="1"/>
  <c r="X470" i="1" s="1"/>
  <c r="QG658" i="1"/>
  <c r="AN432" i="1" s="1"/>
  <c r="AGW652" i="1"/>
  <c r="MU628" i="1"/>
  <c r="T465" i="1" s="1"/>
  <c r="XW628" i="1"/>
  <c r="T394" i="1" s="1"/>
  <c r="AGW616" i="1"/>
  <c r="JI634" i="1"/>
  <c r="X453" i="1" s="1"/>
  <c r="TR672" i="1"/>
  <c r="P27" i="1" s="1"/>
  <c r="TS604" i="1"/>
  <c r="D465" i="1" s="1"/>
  <c r="IZ640" i="1"/>
  <c r="AB452" i="1" s="1"/>
  <c r="WV628" i="1"/>
  <c r="CB646" i="1"/>
  <c r="AF429" i="1" s="1"/>
  <c r="H616" i="1"/>
  <c r="L392" i="1" s="1"/>
  <c r="DC616" i="1"/>
  <c r="L426" i="1" s="1"/>
  <c r="AI652" i="1"/>
  <c r="AJ407" i="1" s="1"/>
  <c r="IZ634" i="1"/>
  <c r="X439" i="1" s="1"/>
  <c r="Q646" i="1"/>
  <c r="AF427" i="1" s="1"/>
  <c r="BS646" i="1"/>
  <c r="AF412" i="1" s="1"/>
  <c r="AR646" i="1"/>
  <c r="AF442" i="1" s="1"/>
  <c r="SR646" i="1"/>
  <c r="AF461" i="1" s="1"/>
  <c r="BA646" i="1"/>
  <c r="AF394" i="1" s="1"/>
  <c r="QG646" i="1"/>
  <c r="AF482" i="1" s="1"/>
  <c r="LB616" i="1"/>
  <c r="L404" i="1" s="1"/>
  <c r="MU610" i="1"/>
  <c r="H396" i="1" s="1"/>
  <c r="SI652" i="1"/>
  <c r="AJ400" i="1" s="1"/>
  <c r="RZ652" i="1"/>
  <c r="AJ414" i="1" s="1"/>
  <c r="BA634" i="1"/>
  <c r="X442" i="1" s="1"/>
  <c r="LB634" i="1"/>
  <c r="X473" i="1" s="1"/>
  <c r="CK634" i="1"/>
  <c r="X406" i="1" s="1"/>
  <c r="ND634" i="1"/>
  <c r="X443" i="1" s="1"/>
  <c r="TS616" i="1"/>
  <c r="L413" i="1" s="1"/>
  <c r="AFV646" i="1"/>
  <c r="AGN646" i="1"/>
  <c r="BJ628" i="1"/>
  <c r="T452" i="1" s="1"/>
  <c r="AI628" i="1"/>
  <c r="T418" i="1" s="1"/>
  <c r="H628" i="1"/>
  <c r="T436" i="1" s="1"/>
  <c r="AHF646" i="1"/>
  <c r="AF411" i="1" s="1"/>
  <c r="AHF634" i="1"/>
  <c r="X484" i="1" s="1"/>
  <c r="AGE652" i="1"/>
  <c r="LK622" i="1"/>
  <c r="P484" i="1" s="1"/>
  <c r="EV664" i="1"/>
  <c r="AR396" i="1" s="1"/>
  <c r="VU640" i="1"/>
  <c r="AB455" i="1" s="1"/>
  <c r="JI640" i="1"/>
  <c r="AB419" i="1" s="1"/>
  <c r="AGE634" i="1"/>
  <c r="EM610" i="1"/>
  <c r="H426" i="1" s="1"/>
  <c r="FW634" i="1"/>
  <c r="X402" i="1" s="1"/>
  <c r="FN646" i="1"/>
  <c r="AF451" i="1" s="1"/>
  <c r="KJ610" i="1"/>
  <c r="H461" i="1" s="1"/>
  <c r="CK610" i="1"/>
  <c r="H451" i="1" s="1"/>
  <c r="LK610" i="1"/>
  <c r="H416" i="1" s="1"/>
  <c r="AFV610" i="1"/>
  <c r="WV664" i="1"/>
  <c r="LK658" i="1"/>
  <c r="AN478" i="1" s="1"/>
  <c r="AGE610" i="1"/>
  <c r="QY616" i="1"/>
  <c r="L412" i="1" s="1"/>
  <c r="FN616" i="1"/>
  <c r="L407" i="1" s="1"/>
  <c r="JR616" i="1"/>
  <c r="L488" i="1" s="1"/>
  <c r="EM616" i="1"/>
  <c r="L472" i="1" s="1"/>
  <c r="FW616" i="1"/>
  <c r="L410" i="1" s="1"/>
  <c r="PF616" i="1"/>
  <c r="L453" i="1" s="1"/>
  <c r="AFV622" i="1"/>
  <c r="ML670" i="1"/>
  <c r="AV460" i="1" s="1"/>
  <c r="CT622" i="1"/>
  <c r="P411" i="1" s="1"/>
  <c r="MU622" i="1"/>
  <c r="P430" i="1" s="1"/>
  <c r="TS622" i="1"/>
  <c r="P479" i="1" s="1"/>
  <c r="CB628" i="1"/>
  <c r="T461" i="1" s="1"/>
  <c r="KJ628" i="1"/>
  <c r="T481" i="1" s="1"/>
  <c r="ML628" i="1"/>
  <c r="T487" i="1" s="1"/>
  <c r="TS610" i="1"/>
  <c r="H480" i="1" s="1"/>
  <c r="HY622" i="1"/>
  <c r="P413" i="1" s="1"/>
  <c r="NC672" i="1"/>
  <c r="P48" i="1" s="1"/>
  <c r="ND604" i="1"/>
  <c r="D470" i="1" s="1"/>
  <c r="LJ672" i="1"/>
  <c r="P13" i="1" s="1"/>
  <c r="LK604" i="1"/>
  <c r="D396" i="1" s="1"/>
  <c r="MU658" i="1"/>
  <c r="AN427" i="1" s="1"/>
  <c r="NV640" i="1"/>
  <c r="AB439" i="1" s="1"/>
  <c r="H640" i="1"/>
  <c r="AB473" i="1" s="1"/>
  <c r="NM646" i="1"/>
  <c r="AF395" i="1" s="1"/>
  <c r="TS658" i="1"/>
  <c r="AN425" i="1" s="1"/>
  <c r="AZ672" i="1"/>
  <c r="P72" i="1" s="1"/>
  <c r="BA604" i="1"/>
  <c r="D425" i="1" s="1"/>
  <c r="EU672" i="1"/>
  <c r="P99" i="1" s="1"/>
  <c r="EV604" i="1"/>
  <c r="D452" i="1" s="1"/>
  <c r="SQ672" i="1"/>
  <c r="P7" i="1" s="1"/>
  <c r="SR604" i="1"/>
  <c r="D406" i="1" s="1"/>
  <c r="Z604" i="1"/>
  <c r="D424" i="1" s="1"/>
  <c r="DC604" i="1"/>
  <c r="D463" i="1" s="1"/>
  <c r="DB672" i="1"/>
  <c r="P55" i="1" s="1"/>
  <c r="P672" i="1"/>
  <c r="P89" i="1" s="1"/>
  <c r="Q604" i="1"/>
  <c r="D418" i="1" s="1"/>
  <c r="PF604" i="1"/>
  <c r="D410" i="1" s="1"/>
  <c r="PE672" i="1"/>
  <c r="P58" i="1" s="1"/>
  <c r="AFL672" i="1"/>
  <c r="AFM604" i="1"/>
  <c r="KI672" i="1"/>
  <c r="P28" i="1" s="1"/>
  <c r="KJ604" i="1"/>
  <c r="D409" i="1" s="1"/>
  <c r="VB672" i="1"/>
  <c r="P77" i="1" s="1"/>
  <c r="VC604" i="1"/>
  <c r="D455" i="1" s="1"/>
  <c r="ND622" i="1"/>
  <c r="P468" i="1" s="1"/>
  <c r="VU622" i="1"/>
  <c r="P480" i="1" s="1"/>
  <c r="GO622" i="1"/>
  <c r="P405" i="1" s="1"/>
  <c r="DC622" i="1"/>
  <c r="P401" i="1" s="1"/>
  <c r="PO622" i="1"/>
  <c r="P437" i="1" s="1"/>
  <c r="BJ622" i="1"/>
  <c r="P435" i="1" s="1"/>
  <c r="YO610" i="1"/>
  <c r="DL640" i="1"/>
  <c r="AB456" i="1" s="1"/>
  <c r="LK628" i="1"/>
  <c r="T398" i="1" s="1"/>
  <c r="IZ622" i="1"/>
  <c r="P419" i="1" s="1"/>
  <c r="ON640" i="1"/>
  <c r="AB432" i="1" s="1"/>
  <c r="LT616" i="1"/>
  <c r="L457" i="1" s="1"/>
  <c r="CK616" i="1"/>
  <c r="L439" i="1" s="1"/>
  <c r="FW640" i="1"/>
  <c r="AB417" i="1" s="1"/>
  <c r="Q622" i="1"/>
  <c r="P418" i="1" s="1"/>
  <c r="RZ670" i="1"/>
  <c r="AV457" i="1" s="1"/>
  <c r="H610" i="1"/>
  <c r="H455" i="1" s="1"/>
  <c r="LB610" i="1"/>
  <c r="H393" i="1" s="1"/>
  <c r="WV610" i="1"/>
  <c r="IQ610" i="1"/>
  <c r="H404" i="1" s="1"/>
  <c r="QY610" i="1"/>
  <c r="H420" i="1" s="1"/>
  <c r="BJ610" i="1"/>
  <c r="H400" i="1" s="1"/>
  <c r="AI610" i="1"/>
  <c r="H466" i="1" s="1"/>
  <c r="SR652" i="1"/>
  <c r="AJ450" i="1" s="1"/>
  <c r="BS670" i="1"/>
  <c r="AV401" i="1" s="1"/>
  <c r="AI658" i="1"/>
  <c r="AN448" i="1" s="1"/>
  <c r="PX658" i="1"/>
  <c r="DL658" i="1"/>
  <c r="AN421" i="1" s="1"/>
  <c r="ADT658" i="1"/>
  <c r="AGW610" i="1"/>
  <c r="AFM664" i="1"/>
  <c r="NM604" i="1"/>
  <c r="D473" i="1" s="1"/>
  <c r="NL672" i="1"/>
  <c r="P98" i="1" s="1"/>
  <c r="GO628" i="1"/>
  <c r="T433" i="1" s="1"/>
  <c r="XW646" i="1"/>
  <c r="AF484" i="1" s="1"/>
  <c r="TA658" i="1"/>
  <c r="AN456" i="1" s="1"/>
  <c r="AFD658" i="1"/>
  <c r="JI652" i="1"/>
  <c r="AJ398" i="1" s="1"/>
  <c r="MC628" i="1"/>
  <c r="T490" i="1" s="1"/>
  <c r="NM616" i="1"/>
  <c r="L446" i="1" s="1"/>
  <c r="ML664" i="1"/>
  <c r="AR441" i="1" s="1"/>
  <c r="LT604" i="1"/>
  <c r="D416" i="1" s="1"/>
  <c r="LS672" i="1"/>
  <c r="P82" i="1" s="1"/>
  <c r="QY604" i="1"/>
  <c r="D469" i="1" s="1"/>
  <c r="QX672" i="1"/>
  <c r="P52" i="1" s="1"/>
  <c r="AGD672" i="1"/>
  <c r="AGE604" i="1"/>
  <c r="NM640" i="1"/>
  <c r="AB428" i="1" s="1"/>
  <c r="FN622" i="1"/>
  <c r="P426" i="1" s="1"/>
  <c r="NV628" i="1"/>
  <c r="T471" i="1" s="1"/>
  <c r="BS658" i="1"/>
  <c r="AN420" i="1" s="1"/>
  <c r="T385" i="1" l="1"/>
  <c r="D362" i="1"/>
  <c r="H362" i="1"/>
  <c r="P367" i="1"/>
  <c r="D365" i="1"/>
  <c r="D363" i="1"/>
  <c r="H360" i="1"/>
  <c r="D368" i="1"/>
  <c r="H356" i="1"/>
  <c r="H355" i="1"/>
  <c r="D354" i="1"/>
  <c r="D364" i="1"/>
  <c r="D366" i="1"/>
  <c r="H366" i="1"/>
  <c r="D352" i="1"/>
  <c r="H365" i="1"/>
  <c r="H361" i="1"/>
  <c r="H364" i="1"/>
  <c r="H359" i="1"/>
  <c r="H354" i="1"/>
  <c r="O243" i="1"/>
  <c r="T375" i="1"/>
  <c r="H357" i="1"/>
  <c r="D355" i="1"/>
  <c r="H363" i="1"/>
  <c r="P368" i="1"/>
  <c r="H358" i="1"/>
  <c r="D353" i="1"/>
  <c r="H352" i="1"/>
  <c r="D367" i="1"/>
  <c r="D357" i="1"/>
  <c r="H353" i="1"/>
  <c r="D359" i="1"/>
  <c r="P366" i="1"/>
  <c r="D361" i="1"/>
  <c r="H367" i="1"/>
  <c r="D369" i="1"/>
  <c r="G63" i="1"/>
  <c r="G52" i="1"/>
  <c r="G99" i="1"/>
  <c r="G79" i="1"/>
  <c r="G36" i="1"/>
  <c r="G61" i="1"/>
  <c r="G5" i="1"/>
  <c r="G100" i="1"/>
  <c r="G85" i="1"/>
  <c r="G8" i="1"/>
  <c r="G41" i="1"/>
  <c r="G40" i="1"/>
  <c r="G31" i="1"/>
  <c r="G84" i="1"/>
  <c r="G3" i="1"/>
  <c r="G44" i="1"/>
  <c r="G97" i="1"/>
  <c r="G50" i="1"/>
  <c r="G18" i="1"/>
  <c r="G91" i="1"/>
  <c r="G43" i="1"/>
  <c r="G78" i="1"/>
  <c r="G80" i="1"/>
  <c r="G16" i="1"/>
  <c r="G47" i="1"/>
  <c r="G60" i="1"/>
  <c r="G38" i="1"/>
  <c r="G7" i="1"/>
  <c r="G11" i="1"/>
  <c r="G90" i="1"/>
  <c r="G28" i="1"/>
  <c r="G23" i="1"/>
  <c r="G89" i="1"/>
  <c r="G66" i="1"/>
  <c r="G53" i="1"/>
  <c r="G12" i="1"/>
  <c r="G48" i="1"/>
  <c r="G64" i="1"/>
  <c r="G20" i="1"/>
  <c r="G83" i="1"/>
  <c r="G77" i="1"/>
  <c r="G57" i="1"/>
  <c r="G98" i="1"/>
  <c r="G672" i="1"/>
  <c r="P68" i="1" s="1"/>
  <c r="H604" i="1"/>
  <c r="D450" i="1" s="1"/>
  <c r="D356" i="1" l="1"/>
  <c r="D70" i="6" l="1"/>
  <c r="P176" i="1" s="1"/>
  <c r="D66" i="6"/>
  <c r="P211" i="1" s="1"/>
  <c r="D74" i="6"/>
  <c r="P200" i="1" s="1"/>
  <c r="D73" i="6"/>
  <c r="P190" i="1" s="1"/>
  <c r="D72" i="6"/>
  <c r="P151" i="1" s="1"/>
  <c r="D71" i="6"/>
  <c r="P140" i="1" s="1"/>
  <c r="D69" i="6"/>
  <c r="P118" i="1" s="1"/>
  <c r="D68" i="6"/>
  <c r="P157" i="1" s="1"/>
  <c r="D67" i="6"/>
  <c r="P161" i="1" s="1"/>
  <c r="D65" i="6"/>
  <c r="P149" i="1" s="1"/>
  <c r="D64" i="6"/>
  <c r="P173" i="1" s="1"/>
  <c r="D63" i="6"/>
  <c r="P121" i="1" s="1"/>
  <c r="D62" i="6"/>
  <c r="P141" i="1" s="1"/>
  <c r="D61" i="6"/>
  <c r="P144" i="1" s="1"/>
  <c r="D60" i="6"/>
  <c r="P167" i="1" s="1"/>
  <c r="D59" i="6"/>
  <c r="P183" i="1" s="1"/>
  <c r="D58" i="6"/>
  <c r="P204" i="1" s="1"/>
  <c r="D57" i="6"/>
  <c r="P155" i="1" s="1"/>
  <c r="D56" i="6"/>
  <c r="P120" i="1" s="1"/>
  <c r="D55" i="6"/>
  <c r="P213" i="1" s="1"/>
  <c r="D54" i="6"/>
  <c r="P136" i="1" s="1"/>
  <c r="D53" i="6"/>
  <c r="P133" i="1" s="1"/>
  <c r="D52" i="6"/>
  <c r="P207" i="1" s="1"/>
  <c r="D51" i="6"/>
  <c r="P170" i="1" s="1"/>
  <c r="D50" i="6"/>
  <c r="P185" i="1" s="1"/>
  <c r="D49" i="6"/>
  <c r="P137" i="1" s="1"/>
  <c r="D48" i="6"/>
  <c r="D47" i="6"/>
  <c r="P148" i="1" s="1"/>
  <c r="D46" i="6"/>
  <c r="P145" i="1" s="1"/>
  <c r="D45" i="6"/>
  <c r="P181" i="1" s="1"/>
  <c r="D44" i="6"/>
  <c r="P159" i="1" s="1"/>
  <c r="D43" i="6"/>
  <c r="P187" i="1" s="1"/>
  <c r="D42" i="6"/>
  <c r="P166" i="1" s="1"/>
  <c r="D41" i="6"/>
  <c r="P146" i="1" s="1"/>
  <c r="D40" i="6"/>
  <c r="P131" i="1" s="1"/>
  <c r="D39" i="6"/>
  <c r="P168" i="1" s="1"/>
  <c r="D38" i="6"/>
  <c r="P171" i="1" s="1"/>
  <c r="D37" i="6"/>
  <c r="P198" i="1" s="1"/>
  <c r="D36" i="6"/>
  <c r="P150" i="1" s="1"/>
  <c r="D35" i="6"/>
  <c r="P182" i="1" s="1"/>
  <c r="D34" i="6"/>
  <c r="D33" i="6"/>
  <c r="D32" i="6"/>
  <c r="P142" i="1" s="1"/>
  <c r="D31" i="6"/>
  <c r="P169" i="1" s="1"/>
  <c r="D30" i="6"/>
  <c r="P158" i="1" s="1"/>
  <c r="D29" i="6"/>
  <c r="P175" i="1" s="1"/>
  <c r="D28" i="6"/>
  <c r="D27" i="6"/>
  <c r="P199" i="1" s="1"/>
  <c r="D26" i="6"/>
  <c r="D25" i="6"/>
  <c r="D24" i="6"/>
  <c r="P128" i="1" s="1"/>
  <c r="D23" i="6"/>
  <c r="P165" i="1" s="1"/>
  <c r="D22" i="6"/>
  <c r="D21" i="6"/>
  <c r="P197" i="1" s="1"/>
  <c r="D20" i="6"/>
  <c r="P143" i="1" s="1"/>
  <c r="D19" i="6"/>
  <c r="P129" i="1" s="1"/>
  <c r="D18" i="6"/>
  <c r="P215" i="1" s="1"/>
  <c r="D17" i="6"/>
  <c r="P123" i="1" s="1"/>
  <c r="D16" i="6"/>
  <c r="P214" i="1" s="1"/>
  <c r="D15" i="6"/>
  <c r="P192" i="1" s="1"/>
  <c r="D14" i="6"/>
  <c r="D13" i="6"/>
  <c r="P135" i="1" s="1"/>
  <c r="D12" i="6"/>
  <c r="P162" i="1" s="1"/>
  <c r="D11" i="6"/>
  <c r="P174" i="1" s="1"/>
  <c r="D10" i="6"/>
  <c r="D9" i="6"/>
  <c r="D8" i="6"/>
  <c r="P153" i="1" s="1"/>
  <c r="D7" i="6"/>
  <c r="D6" i="6"/>
  <c r="P210" i="1" s="1"/>
  <c r="D5" i="6"/>
  <c r="P132" i="1" s="1"/>
  <c r="D4" i="6"/>
  <c r="P179" i="1" l="1"/>
  <c r="P156" i="1"/>
  <c r="P152" i="1"/>
  <c r="P191" i="1"/>
  <c r="P203" i="1"/>
  <c r="P147" i="1"/>
  <c r="P209" i="1"/>
  <c r="P216" i="1"/>
  <c r="P154" i="1"/>
  <c r="P172" i="1"/>
  <c r="P202" i="1"/>
  <c r="P186" i="1"/>
  <c r="D6" i="4"/>
  <c r="X585" i="1" s="1"/>
  <c r="D3" i="6" l="1"/>
  <c r="P196" i="1" l="1"/>
  <c r="G19" i="1" l="1"/>
  <c r="G6" i="1"/>
  <c r="G62" i="1"/>
  <c r="G56" i="1"/>
  <c r="G24" i="1"/>
  <c r="G54" i="1"/>
  <c r="G34" i="1"/>
  <c r="G58" i="1"/>
  <c r="G4" i="1"/>
  <c r="G14" i="1"/>
  <c r="G21" i="1"/>
  <c r="G46" i="1"/>
  <c r="G39" i="1"/>
  <c r="G219" i="1" l="1"/>
  <c r="G283" i="1"/>
  <c r="Y623" i="1" l="1"/>
  <c r="Z628" i="1" s="1"/>
  <c r="T468" i="1" s="1"/>
  <c r="E848" i="1" l="1"/>
  <c r="Y672" i="1"/>
  <c r="P93" i="1" s="1"/>
  <c r="E686" i="1"/>
  <c r="E1382" i="1"/>
  <c r="D360" i="1" l="1"/>
  <c r="G32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40" i="1" s="1"/>
  <c r="G340" i="1" s="1"/>
</calcChain>
</file>

<file path=xl/sharedStrings.xml><?xml version="1.0" encoding="utf-8"?>
<sst xmlns="http://schemas.openxmlformats.org/spreadsheetml/2006/main" count="82247" uniqueCount="5116">
  <si>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</si>
  <si>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</si>
  <si>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</si>
  <si>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</si>
  <si>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</si>
  <si>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</si>
  <si>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</si>
  <si>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</si>
  <si>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</si>
  <si>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</si>
  <si>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</si>
  <si>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</si>
  <si>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</si>
  <si>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</si>
  <si>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</si>
  <si>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</si>
  <si>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</si>
  <si>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</si>
  <si>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</si>
  <si>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</si>
  <si>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</si>
  <si>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</si>
  <si>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</si>
  <si>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</si>
  <si>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</si>
  <si>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</si>
  <si>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</si>
  <si>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</si>
  <si>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</si>
  <si>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</si>
  <si>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</si>
  <si>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</si>
  <si>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</si>
  <si>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</si>
  <si>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</si>
  <si>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</si>
  <si>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</si>
  <si>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</si>
  <si>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</si>
  <si>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</si>
  <si>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</si>
  <si>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</si>
  <si>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</si>
  <si>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</si>
  <si>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</si>
  <si>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</si>
  <si>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</si>
  <si>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</si>
  <si>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</si>
  <si>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</si>
  <si>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</si>
  <si>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</si>
  <si>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</si>
  <si>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</si>
  <si>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</si>
  <si>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</si>
  <si>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</si>
  <si>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</si>
  <si>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</si>
  <si>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</si>
  <si>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</si>
  <si>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</si>
  <si>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</si>
  <si>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</si>
  <si>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</si>
  <si>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</si>
  <si>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</si>
  <si>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</si>
  <si>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</si>
  <si>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</si>
  <si>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</si>
  <si>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</si>
  <si>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</si>
  <si>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</si>
  <si>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</si>
  <si>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</si>
  <si>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</si>
  <si>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</si>
  <si>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</si>
  <si>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</si>
  <si>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</si>
  <si>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</si>
  <si>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</si>
  <si>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</si>
  <si>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</si>
  <si>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</si>
  <si>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</si>
  <si>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</si>
  <si>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</si>
  <si>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</si>
  <si>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</si>
  <si>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</si>
  <si>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</si>
  <si>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</si>
  <si>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</si>
  <si>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</si>
  <si>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</si>
  <si>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</si>
  <si>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</si>
  <si>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</si>
  <si>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</si>
  <si>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</si>
  <si>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</si>
  <si>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</si>
  <si>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</si>
  <si>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</si>
  <si>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</si>
  <si>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</si>
  <si>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</si>
  <si>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</si>
  <si>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</si>
  <si>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</si>
  <si>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</si>
  <si>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</si>
  <si>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</si>
  <si>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</si>
  <si>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</si>
  <si>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</si>
  <si>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</si>
  <si>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</si>
  <si>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</si>
  <si>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</si>
  <si>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</si>
  <si>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</si>
  <si>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</si>
  <si>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</si>
  <si>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</si>
  <si>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</si>
  <si>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</si>
  <si>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</si>
  <si>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</si>
  <si>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</si>
  <si>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</si>
  <si>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</si>
  <si>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</si>
  <si>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</si>
  <si>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</si>
  <si>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</si>
  <si>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</si>
  <si>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</si>
  <si>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</si>
  <si>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</si>
  <si>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</si>
  <si>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</si>
  <si>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</si>
  <si>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</si>
  <si>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</si>
  <si>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</si>
  <si>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</si>
  <si>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</si>
  <si>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</si>
  <si>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</si>
  <si>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</si>
  <si>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</si>
  <si>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</si>
  <si>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</si>
  <si>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</si>
  <si>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</si>
  <si>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</si>
  <si>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</si>
  <si>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</si>
  <si>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</si>
  <si>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</si>
  <si>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</si>
  <si>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</si>
  <si>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</si>
  <si>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</si>
  <si>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</si>
  <si>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</si>
  <si>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</si>
  <si>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</si>
  <si>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</si>
  <si>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</si>
  <si>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</si>
  <si>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</si>
  <si>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</si>
  <si>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</si>
  <si>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</si>
  <si>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</si>
  <si>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</si>
  <si>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</si>
  <si>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</si>
  <si>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</si>
  <si>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</si>
  <si>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</si>
  <si>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</si>
  <si>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</si>
  <si>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</si>
  <si>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</si>
  <si>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</si>
  <si>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</si>
  <si>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</si>
  <si>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</si>
  <si>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</si>
  <si>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</si>
  <si>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</si>
  <si>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</si>
  <si>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</si>
  <si>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</si>
  <si>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</si>
  <si>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</si>
  <si>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</si>
  <si>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</si>
  <si>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</si>
  <si>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</si>
  <si>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</si>
  <si>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</si>
  <si>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</si>
  <si>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</si>
  <si>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</si>
  <si>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</si>
  <si>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</si>
  <si>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</si>
  <si>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</si>
  <si>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</si>
  <si>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</si>
  <si>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</si>
  <si>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</si>
  <si>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</si>
  <si>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</si>
  <si>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</si>
  <si>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</si>
  <si>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</si>
  <si>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</si>
  <si>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</si>
  <si>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</si>
  <si>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</si>
  <si>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</si>
  <si>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</si>
  <si>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</si>
  <si>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</si>
  <si>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</si>
  <si>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</si>
  <si>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</si>
  <si>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</si>
  <si>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</si>
  <si>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</si>
  <si>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</si>
  <si>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</si>
  <si>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</si>
  <si>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</si>
  <si>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</si>
  <si>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</si>
  <si>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</si>
  <si>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</si>
  <si>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</si>
  <si>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</si>
  <si>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</si>
  <si>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</si>
  <si>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</si>
  <si>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</si>
  <si>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</si>
  <si>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</si>
  <si>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</si>
  <si>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</si>
  <si>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</si>
  <si>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</si>
  <si>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</si>
  <si>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</si>
  <si>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</si>
  <si>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</si>
  <si>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</si>
  <si>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</si>
  <si>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</si>
  <si>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</si>
  <si>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</si>
  <si>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</si>
  <si>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</si>
  <si>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</si>
  <si>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</si>
  <si>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</si>
  <si>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</si>
  <si>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</si>
  <si>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</si>
  <si>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</si>
  <si>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</si>
  <si>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</si>
  <si>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</si>
  <si>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</si>
  <si>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</si>
  <si>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</si>
  <si>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</si>
  <si>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</si>
  <si>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</si>
  <si>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</si>
  <si>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</si>
  <si>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</si>
  <si>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</si>
  <si>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</si>
  <si>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</si>
  <si>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</si>
  <si>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</si>
  <si>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</si>
  <si>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</si>
  <si>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</si>
  <si>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</si>
  <si>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</si>
  <si>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</si>
  <si>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</si>
  <si>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</si>
  <si>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</si>
  <si>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</si>
  <si>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</si>
  <si>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</si>
  <si>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</si>
  <si>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</si>
  <si>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</si>
  <si>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</si>
  <si>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</si>
  <si>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</si>
  <si>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</si>
  <si>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</si>
  <si>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</si>
  <si>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</si>
  <si>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</si>
  <si>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</si>
  <si>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</si>
  <si>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</si>
  <si>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</si>
  <si>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</si>
  <si>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</si>
  <si>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</si>
  <si>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</si>
  <si>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</si>
  <si>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</si>
  <si>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</si>
  <si>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</si>
  <si>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</si>
  <si>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</si>
  <si>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</si>
  <si>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</si>
  <si>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</si>
  <si>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</si>
  <si>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</si>
  <si>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</si>
  <si>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</si>
  <si>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</si>
  <si>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</si>
  <si>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</si>
  <si>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</si>
  <si>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</si>
  <si>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</si>
  <si>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</si>
  <si>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</si>
  <si>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</si>
  <si>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</si>
  <si>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</si>
  <si>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</si>
  <si>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</si>
  <si>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</si>
  <si>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</si>
  <si>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</si>
  <si>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</si>
  <si>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</si>
  <si>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</si>
  <si>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</si>
  <si>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</si>
  <si>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</si>
  <si>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</si>
  <si>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</si>
  <si>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</si>
  <si>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</si>
  <si>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</si>
  <si>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</si>
  <si>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</si>
  <si>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</si>
  <si>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</si>
  <si>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</si>
  <si>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</si>
  <si>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</si>
  <si>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</si>
  <si>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</si>
  <si>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</si>
  <si>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</si>
  <si>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</si>
  <si>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</si>
  <si>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</si>
  <si>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</si>
  <si>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</si>
  <si>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</si>
  <si>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</si>
  <si>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</si>
  <si>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</si>
  <si>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</si>
  <si>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</si>
  <si>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</si>
  <si>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</si>
  <si>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</si>
  <si>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</si>
  <si>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</si>
  <si>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</si>
  <si>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</si>
  <si>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</si>
  <si>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</si>
  <si>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</si>
  <si>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</si>
  <si>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</si>
  <si>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</si>
  <si>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</si>
  <si>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</si>
  <si>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</si>
  <si>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</si>
  <si>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</si>
  <si>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</si>
  <si>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</si>
  <si>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</si>
  <si>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</si>
  <si>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</si>
  <si>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</si>
  <si>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</si>
  <si>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</si>
  <si>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</si>
  <si>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</si>
  <si>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</si>
  <si>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</si>
  <si>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</si>
  <si>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</si>
  <si>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</si>
  <si>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</si>
  <si>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</si>
  <si>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</si>
  <si>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</si>
  <si>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</si>
  <si>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</si>
  <si>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</si>
  <si>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</si>
  <si>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</si>
  <si>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</si>
  <si>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</si>
  <si>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</si>
  <si>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</si>
  <si>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</si>
  <si>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</si>
  <si>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</si>
  <si>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</si>
  <si>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</si>
  <si>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</si>
  <si>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</si>
  <si>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</si>
  <si>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</si>
  <si>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</si>
  <si>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</si>
  <si>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</si>
  <si>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</si>
  <si>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</si>
  <si>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</si>
  <si>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</si>
  <si>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</si>
  <si>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</si>
  <si>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</si>
  <si>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</si>
  <si>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</si>
  <si>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</si>
  <si>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</si>
  <si>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</si>
  <si>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</si>
  <si>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</si>
  <si>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</si>
  <si>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</si>
  <si>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</si>
  <si>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</si>
  <si>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</si>
  <si>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</si>
  <si>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</si>
  <si>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</si>
  <si>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</si>
  <si>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</si>
  <si>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</si>
  <si>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</si>
  <si>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</si>
  <si>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</si>
  <si>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</si>
  <si>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</si>
  <si>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</si>
  <si>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</si>
  <si>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</si>
  <si>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</si>
  <si>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</si>
  <si>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</si>
  <si>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</si>
  <si>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</si>
  <si>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</si>
  <si>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</si>
  <si>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</si>
  <si>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</si>
  <si>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</si>
  <si>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</si>
  <si>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</si>
  <si>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</si>
  <si>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</si>
  <si>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</si>
  <si>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</si>
  <si>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</si>
  <si>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</si>
  <si>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</si>
  <si>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</si>
  <si>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</si>
  <si>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</si>
  <si>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</si>
  <si>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</si>
  <si>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</si>
  <si>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</si>
  <si>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</si>
  <si>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</si>
  <si>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</si>
  <si>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</si>
  <si>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</si>
  <si>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</si>
  <si>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</si>
  <si>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</si>
  <si>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</si>
  <si>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</si>
  <si>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</si>
  <si>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</si>
  <si>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</si>
  <si>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</si>
  <si>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</si>
  <si>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</si>
  <si>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</si>
  <si>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</si>
  <si>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</si>
  <si>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</si>
  <si>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</si>
  <si>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</si>
  <si>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</si>
  <si>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</si>
  <si>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</si>
  <si>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</si>
  <si>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</si>
  <si>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</si>
  <si>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</si>
  <si>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</si>
  <si>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</si>
  <si>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</si>
  <si>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</si>
  <si>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</si>
  <si>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</si>
  <si>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</si>
  <si>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</si>
  <si>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</si>
  <si>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</si>
  <si>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</si>
  <si>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</si>
  <si>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</si>
  <si>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</si>
  <si>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</si>
  <si>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</si>
  <si>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</si>
  <si>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</si>
  <si>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</si>
  <si>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</si>
  <si>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</si>
  <si>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</si>
  <si>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</si>
  <si>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</si>
  <si>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</si>
  <si>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</si>
  <si>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</si>
  <si>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</si>
  <si>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</si>
  <si>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</si>
  <si>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</si>
  <si>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</si>
  <si>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</si>
  <si>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</si>
  <si>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</si>
  <si>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</si>
  <si>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</si>
  <si>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</si>
  <si>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</si>
  <si>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</si>
  <si>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</si>
  <si>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</si>
  <si>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</si>
  <si>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</si>
  <si>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</si>
  <si>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</si>
  <si>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</si>
  <si>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</si>
  <si>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</si>
  <si>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</si>
  <si>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</si>
  <si>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</si>
  <si>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</si>
  <si>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</si>
  <si>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</si>
  <si>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</si>
  <si>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</si>
  <si>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</si>
  <si>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</si>
  <si>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</si>
  <si>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</si>
  <si>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</si>
  <si>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</si>
  <si>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</si>
  <si>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</si>
  <si>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</si>
  <si>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</si>
  <si>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</si>
  <si>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</si>
  <si>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</si>
  <si>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</si>
  <si>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</si>
  <si>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</si>
  <si>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</si>
  <si>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</si>
  <si>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</si>
  <si>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</si>
  <si>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</si>
  <si>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</si>
  <si>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</si>
  <si>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</si>
  <si>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</si>
  <si>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</si>
  <si>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</si>
  <si>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</si>
  <si>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</si>
  <si>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</si>
  <si>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</si>
  <si>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</si>
  <si>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</si>
  <si>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</si>
  <si>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</si>
  <si>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</si>
  <si>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</si>
  <si>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</si>
  <si>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</si>
  <si>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</si>
  <si>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</si>
  <si>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</si>
  <si>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</si>
  <si>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</si>
  <si>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</si>
  <si>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</si>
  <si>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</si>
  <si>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</si>
  <si>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</si>
  <si>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</si>
  <si>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</si>
  <si>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</si>
  <si>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</si>
  <si>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</si>
  <si>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</si>
  <si>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</si>
  <si>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</si>
  <si>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</si>
  <si>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</si>
  <si>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</si>
  <si>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</si>
  <si>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</si>
  <si>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</si>
  <si>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</si>
  <si>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</si>
  <si>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</si>
  <si>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</si>
  <si>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</si>
  <si>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</si>
  <si>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</si>
  <si>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</si>
  <si>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</si>
  <si>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</si>
  <si>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</si>
  <si>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</si>
  <si>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</si>
  <si>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</si>
  <si>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</si>
  <si>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</si>
  <si>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</si>
  <si>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</si>
  <si>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</si>
  <si>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</si>
  <si>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</si>
  <si>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</si>
  <si>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</si>
  <si>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</si>
  <si>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</si>
  <si>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</si>
  <si>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</si>
  <si>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</si>
  <si>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</si>
  <si>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</si>
  <si>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</si>
  <si>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</si>
  <si>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</si>
  <si>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</si>
  <si>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</si>
  <si>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</si>
  <si>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</si>
  <si>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</si>
  <si>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</si>
  <si>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</si>
  <si>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</si>
  <si>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</si>
  <si>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</si>
  <si>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</si>
  <si>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</si>
  <si>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</si>
  <si>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</si>
  <si>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</si>
  <si>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</si>
  <si>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</si>
  <si>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</si>
  <si>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</si>
  <si>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</si>
  <si>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</si>
  <si>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</si>
  <si>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</si>
  <si>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</si>
  <si>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</si>
  <si>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</si>
  <si>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</si>
  <si>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</si>
  <si>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</si>
  <si>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</si>
  <si>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</si>
  <si>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</si>
  <si>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</si>
  <si>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</si>
  <si>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</si>
  <si>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</si>
  <si>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</si>
  <si>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</si>
  <si>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</si>
  <si>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</si>
  <si>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</si>
  <si>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</si>
  <si>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</si>
  <si>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</si>
  <si>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</si>
  <si>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</si>
  <si>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</si>
  <si>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</si>
  <si>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</si>
  <si>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</si>
  <si>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</si>
  <si>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</si>
  <si>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</si>
  <si>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</si>
  <si>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</si>
  <si>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</si>
  <si>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</si>
  <si>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</si>
  <si>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</si>
  <si>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</si>
  <si>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</si>
  <si>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</si>
  <si>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</si>
  <si>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</si>
  <si>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</si>
  <si>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</si>
  <si>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</si>
  <si>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</si>
  <si>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</si>
  <si>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</si>
  <si>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</si>
  <si>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</si>
  <si>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</si>
  <si>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</si>
  <si>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</si>
  <si>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</si>
  <si>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</si>
  <si>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</si>
  <si>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</si>
  <si>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</si>
  <si>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</si>
  <si>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</si>
  <si>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</si>
  <si>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</si>
  <si>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</si>
  <si>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</si>
  <si>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</si>
  <si>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</si>
  <si>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</si>
  <si>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</si>
  <si>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</si>
  <si>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</si>
  <si>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</si>
  <si>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</si>
  <si>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</si>
  <si>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</si>
  <si>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</si>
  <si>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</si>
  <si>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</si>
  <si>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</si>
  <si>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</si>
  <si>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</si>
  <si>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</si>
  <si>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</si>
  <si>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</si>
  <si>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</si>
  <si>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</si>
  <si>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</si>
  <si>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</si>
  <si>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</si>
  <si>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</si>
  <si>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</si>
  <si>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</si>
  <si>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</si>
  <si>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</si>
  <si>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</si>
  <si>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</si>
  <si>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</si>
  <si>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</si>
  <si>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</si>
  <si>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</si>
  <si>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</si>
  <si>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</si>
  <si>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</si>
  <si>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</si>
  <si>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</si>
  <si>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</si>
  <si>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</si>
  <si>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</si>
  <si>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</si>
  <si>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</si>
  <si>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</si>
  <si>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</si>
  <si>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</si>
  <si>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</si>
  <si>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</si>
  <si>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</si>
  <si>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</si>
  <si>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</si>
  <si>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</si>
  <si>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</si>
  <si>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</si>
  <si>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</si>
  <si>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</si>
  <si>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</si>
  <si>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</si>
  <si>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</si>
  <si>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</si>
  <si>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</si>
  <si>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</si>
  <si>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</si>
  <si>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</si>
  <si>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</si>
  <si>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</si>
  <si>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</si>
  <si>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</si>
  <si>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</si>
  <si>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</si>
  <si>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</si>
  <si>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</si>
  <si>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</si>
  <si>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</si>
  <si>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</si>
  <si>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</si>
  <si>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</si>
  <si>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</si>
  <si>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</si>
  <si>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</si>
  <si>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</si>
  <si>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</si>
  <si>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</si>
  <si>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</si>
  <si>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</si>
  <si>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</si>
  <si>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</si>
  <si>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</si>
  <si>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</si>
  <si>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</si>
  <si>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</si>
  <si>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</si>
  <si>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</si>
  <si>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</si>
  <si>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</si>
  <si>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</si>
  <si>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</si>
  <si>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</si>
  <si>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</si>
  <si>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</si>
  <si>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</si>
  <si>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</si>
  <si>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</si>
  <si>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</si>
  <si>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</si>
  <si>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</si>
  <si>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</si>
  <si>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</si>
  <si>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</si>
  <si>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</si>
  <si>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</si>
  <si>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</si>
  <si>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</si>
  <si>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</si>
  <si>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</si>
  <si>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</si>
  <si>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</si>
  <si>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</si>
  <si>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</si>
  <si>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</si>
  <si>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</si>
  <si>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</si>
  <si>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</si>
  <si>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</si>
  <si>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</si>
  <si>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</si>
  <si>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</si>
  <si>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</si>
  <si>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</si>
  <si>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</si>
  <si>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</si>
  <si>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</si>
  <si>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</si>
  <si>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</si>
  <si>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</si>
  <si>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</si>
  <si>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</si>
  <si>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</si>
  <si>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</si>
  <si>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</si>
  <si>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</si>
  <si>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</si>
  <si>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</si>
  <si>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</si>
  <si>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</si>
  <si>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</si>
  <si>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</si>
  <si>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</si>
  <si>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</si>
  <si>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</si>
  <si>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</si>
  <si>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</si>
  <si>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</si>
  <si>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</si>
  <si>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</si>
  <si>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</si>
  <si>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</si>
  <si>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</si>
  <si>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</si>
  <si>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</si>
  <si>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</si>
  <si>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</si>
  <si>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</si>
  <si>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</si>
  <si>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</si>
  <si>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</si>
  <si>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</si>
  <si>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</si>
  <si>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</si>
  <si>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</si>
  <si>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</si>
  <si>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</si>
  <si>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</si>
  <si>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</si>
  <si>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</si>
  <si>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</si>
  <si>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</si>
  <si>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</si>
  <si>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</si>
  <si>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</si>
  <si>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</si>
  <si>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</si>
  <si>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</si>
  <si>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</si>
  <si>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</si>
  <si>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</si>
  <si>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</si>
  <si>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</si>
  <si>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</si>
  <si>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</si>
  <si>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</si>
  <si>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</si>
  <si>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</si>
  <si>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</si>
  <si>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</si>
  <si>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</si>
  <si>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</si>
  <si>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</si>
  <si>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</si>
  <si>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</si>
  <si>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</si>
  <si>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</si>
  <si>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</si>
  <si>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</si>
  <si>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</si>
  <si>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</si>
  <si>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</si>
  <si>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</si>
  <si>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</si>
  <si>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</si>
  <si>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</si>
  <si>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</si>
  <si>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</si>
  <si>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</si>
  <si>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</si>
  <si>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</si>
  <si>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</si>
  <si>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</si>
  <si>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</si>
  <si>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</si>
  <si>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</si>
  <si>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</si>
  <si>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</si>
  <si>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</si>
  <si>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</si>
  <si>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</si>
  <si>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</si>
  <si>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</si>
  <si>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</si>
  <si>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</si>
  <si>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</si>
  <si>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</si>
  <si>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</si>
  <si>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</si>
  <si>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</si>
  <si>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</si>
  <si>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</si>
  <si>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</si>
  <si>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</si>
  <si>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</si>
  <si>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</si>
  <si>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</si>
  <si>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</si>
  <si>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</si>
  <si>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</si>
  <si>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</si>
  <si>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</si>
  <si>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</si>
  <si>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</si>
  <si>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</si>
  <si>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</si>
  <si>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</si>
  <si>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</si>
  <si>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</si>
  <si>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</si>
  <si>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</si>
  <si>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</si>
  <si>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</si>
  <si>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</si>
  <si>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</si>
  <si>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</si>
  <si>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</si>
  <si>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</si>
  <si>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</si>
  <si>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</si>
  <si>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</si>
  <si>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</si>
  <si>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</si>
  <si>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</si>
  <si>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</si>
  <si>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</si>
  <si>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</si>
  <si>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</si>
  <si>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</si>
  <si>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</si>
  <si>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</si>
  <si>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</si>
  <si>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</si>
  <si>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</si>
  <si>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</si>
  <si>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</si>
  <si>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</si>
  <si>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</si>
  <si>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</si>
  <si>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</si>
  <si>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</si>
  <si>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</si>
  <si>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</si>
  <si>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</si>
  <si>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</si>
  <si>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</si>
  <si>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</si>
  <si>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</si>
  <si>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</si>
  <si>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</si>
  <si>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</si>
  <si>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</si>
  <si>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</si>
  <si>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</si>
  <si>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</si>
  <si>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</si>
  <si>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</si>
  <si>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</si>
  <si>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</si>
  <si>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</si>
  <si>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</si>
  <si>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</si>
  <si>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</si>
  <si>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</si>
  <si>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</si>
  <si>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</si>
  <si>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</si>
  <si>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</si>
  <si>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</si>
  <si>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</si>
  <si>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</si>
  <si>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</si>
  <si>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</si>
  <si>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</si>
  <si>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</si>
  <si>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</si>
  <si>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</si>
  <si>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</si>
  <si>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</si>
  <si>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</si>
  <si>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</si>
  <si>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</si>
  <si>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</si>
  <si>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</si>
  <si>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</si>
  <si>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</si>
  <si>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</si>
  <si>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</si>
  <si>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</si>
  <si>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</si>
  <si>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</si>
  <si>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</si>
  <si>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</si>
  <si>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</si>
  <si>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</si>
  <si>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</si>
  <si>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</si>
  <si>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</si>
  <si>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</si>
  <si>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</si>
  <si>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</si>
  <si>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</si>
  <si>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</si>
  <si>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</si>
  <si>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</si>
  <si>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</si>
  <si>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</si>
  <si>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</si>
  <si>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</si>
  <si>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</si>
  <si>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</si>
  <si>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</si>
  <si>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</si>
  <si>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</si>
  <si>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</si>
  <si>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</si>
  <si>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</si>
  <si>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</si>
  <si>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</si>
  <si>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</si>
  <si>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</si>
  <si>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</si>
  <si>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</si>
  <si>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</si>
  <si>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</si>
  <si>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</si>
  <si>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</si>
  <si>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</si>
  <si>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</si>
  <si>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</si>
  <si>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</si>
  <si>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</si>
  <si>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</si>
  <si>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</si>
  <si>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</si>
  <si>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</si>
  <si>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</si>
  <si>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</si>
  <si>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</si>
  <si>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</si>
  <si>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</si>
  <si>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</si>
  <si>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</si>
  <si>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</si>
  <si>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</si>
  <si>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</si>
  <si>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</si>
  <si>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</si>
  <si>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</si>
  <si>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</si>
  <si>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</si>
  <si>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</si>
  <si>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</si>
  <si>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</si>
  <si>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</si>
  <si>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</si>
  <si>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</si>
  <si>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</si>
  <si>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</si>
  <si>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</si>
  <si>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</si>
  <si>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</si>
  <si>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</si>
  <si>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</si>
  <si>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</si>
  <si>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</si>
  <si>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</si>
  <si>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</si>
  <si>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</si>
  <si>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</si>
  <si>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</si>
  <si>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</si>
  <si>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</si>
  <si>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</si>
  <si>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</si>
  <si>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</si>
  <si>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</si>
  <si>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</si>
  <si>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</si>
  <si>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</si>
  <si>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</si>
  <si>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</si>
  <si>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</si>
  <si>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</si>
  <si>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</si>
  <si>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</si>
  <si>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</si>
  <si>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</si>
  <si>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</si>
  <si>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</si>
  <si>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</si>
  <si>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</si>
  <si>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</si>
  <si>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</si>
  <si>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</si>
  <si>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</si>
  <si>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</si>
  <si>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</si>
  <si>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</si>
  <si>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</si>
  <si>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</si>
  <si>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</si>
  <si>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</si>
  <si>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</si>
  <si>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</si>
  <si>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</si>
  <si>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</si>
  <si>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</si>
  <si>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</si>
  <si>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</si>
  <si>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</si>
  <si>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</si>
  <si>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</si>
  <si>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</si>
  <si>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</si>
  <si>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</si>
  <si>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</si>
  <si>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</si>
  <si>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</si>
  <si>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</si>
  <si>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</si>
  <si>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</si>
  <si>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</si>
  <si>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</si>
  <si>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</si>
  <si>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</si>
  <si>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</si>
  <si>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</si>
  <si>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</si>
  <si>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</si>
  <si>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</si>
  <si>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</si>
  <si>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</si>
  <si>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</si>
  <si>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</si>
  <si>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</si>
  <si>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</si>
  <si>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</si>
  <si>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</si>
  <si>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</si>
  <si>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</si>
  <si>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</si>
  <si>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</si>
  <si>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</si>
  <si>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</si>
  <si>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</si>
  <si>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</si>
  <si>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</si>
  <si>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</si>
  <si>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</si>
  <si>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</si>
  <si>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</si>
  <si>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</si>
  <si>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</si>
  <si>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</si>
  <si>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</si>
  <si>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</si>
  <si>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</si>
  <si>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</si>
  <si>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</si>
  <si>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</si>
  <si>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</si>
  <si>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</si>
  <si>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</si>
  <si>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</si>
  <si>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</si>
  <si>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</si>
  <si>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</si>
  <si>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</si>
  <si>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</si>
  <si>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</si>
  <si>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</si>
  <si>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</si>
  <si>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</si>
  <si>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</si>
  <si>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</si>
  <si>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</si>
  <si>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</si>
  <si>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</si>
  <si>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</si>
  <si>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</si>
  <si>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</si>
  <si>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</si>
  <si>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</si>
  <si>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</si>
  <si>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</si>
  <si>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</si>
  <si>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</si>
  <si>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</si>
  <si>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</si>
  <si>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</si>
  <si>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</si>
  <si>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</si>
  <si>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</si>
  <si>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</si>
  <si>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</si>
  <si>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</si>
  <si>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</si>
  <si>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</si>
  <si>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</si>
  <si>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</si>
  <si>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</si>
  <si>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</si>
  <si>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</si>
  <si>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</si>
  <si>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</si>
  <si>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</si>
  <si>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</si>
  <si>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</si>
  <si>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</si>
  <si>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</si>
  <si>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</si>
  <si>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</si>
  <si>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</si>
  <si>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</si>
  <si>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</si>
  <si>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</si>
  <si>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</si>
  <si>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</si>
  <si>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</si>
  <si>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</si>
  <si>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</si>
  <si>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</si>
  <si>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</si>
  <si>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</si>
  <si>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</si>
  <si>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</si>
  <si>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</si>
  <si>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</si>
  <si>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</si>
  <si>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</si>
  <si>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</si>
  <si>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</si>
  <si>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</si>
  <si>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</si>
  <si>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</si>
  <si>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</si>
  <si>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</si>
  <si>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</si>
  <si>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</si>
  <si>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</si>
  <si>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</si>
  <si>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</si>
  <si>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</si>
  <si>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</si>
  <si>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</si>
  <si>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</si>
  <si>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</si>
  <si>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</si>
  <si>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</si>
  <si>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</si>
  <si>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</si>
  <si>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</si>
  <si>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</si>
  <si>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</si>
  <si>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</si>
  <si>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</si>
  <si>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</si>
  <si>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</si>
  <si>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</si>
  <si>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</si>
  <si>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</si>
  <si>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</si>
  <si>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</si>
  <si>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</si>
  <si>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</si>
  <si>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</si>
  <si>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</si>
  <si>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</si>
  <si>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</si>
  <si>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</si>
  <si>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</si>
  <si>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</si>
  <si>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</si>
  <si>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</si>
  <si>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</si>
  <si>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</si>
  <si>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</si>
  <si>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</si>
  <si>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</si>
  <si>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</si>
  <si>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</si>
  <si>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</si>
  <si>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</si>
  <si>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</si>
  <si>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</si>
  <si>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</si>
  <si>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</si>
  <si>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</si>
  <si>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</si>
  <si>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</si>
  <si>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</si>
  <si>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</si>
  <si>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</si>
  <si>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</si>
  <si>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</si>
  <si>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</si>
  <si>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</si>
  <si>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</si>
  <si>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</si>
  <si>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</si>
  <si>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</si>
  <si>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</si>
  <si>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</si>
  <si>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</si>
  <si>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</si>
  <si>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</si>
  <si>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</si>
  <si>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</si>
  <si>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</si>
  <si>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</si>
  <si>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</si>
  <si>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</si>
  <si>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</si>
  <si>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</si>
  <si>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</si>
  <si>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</si>
  <si>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</si>
  <si>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</si>
  <si>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</si>
  <si>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</si>
  <si>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</si>
  <si>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</si>
  <si>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</si>
  <si>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</si>
  <si>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</si>
  <si>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</si>
  <si>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</si>
  <si>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</si>
  <si>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</si>
  <si>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</si>
  <si>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</si>
  <si>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</si>
  <si>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</si>
  <si>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</si>
  <si>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</si>
  <si>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</si>
  <si>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</si>
  <si>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</si>
  <si>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</si>
  <si>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</si>
  <si>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</si>
  <si>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</si>
  <si>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</si>
  <si>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</si>
  <si>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</si>
  <si>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</si>
  <si>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</si>
  <si>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</si>
  <si>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</si>
  <si>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</si>
  <si>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</si>
  <si>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</si>
  <si>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</si>
  <si>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</si>
  <si>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</si>
  <si>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</si>
  <si>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</si>
  <si>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</si>
  <si>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</si>
  <si>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</si>
  <si>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</si>
  <si>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</si>
  <si>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</si>
  <si>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</si>
  <si>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</si>
  <si>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</si>
  <si>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</si>
  <si>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</si>
  <si>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</si>
  <si>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</si>
  <si>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</si>
  <si>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</si>
  <si>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</si>
  <si>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</si>
  <si>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</si>
  <si>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</si>
  <si>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</si>
  <si>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</si>
  <si>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</si>
  <si>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</si>
  <si>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</si>
  <si>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</si>
  <si>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</si>
  <si>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</si>
  <si>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</si>
  <si>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</si>
  <si>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</si>
  <si>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</si>
  <si>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</si>
  <si>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</si>
  <si>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</si>
  <si>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</si>
  <si>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</si>
  <si>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</si>
  <si>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</si>
  <si>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</si>
  <si>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</si>
  <si>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</si>
  <si>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</si>
  <si>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</si>
  <si>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</si>
  <si>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</si>
  <si>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</si>
  <si>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</si>
  <si>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</si>
  <si>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</si>
  <si>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</si>
  <si>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</si>
  <si>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</si>
  <si>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</si>
  <si>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</si>
  <si>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</si>
  <si>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</si>
  <si>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</si>
  <si>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</si>
  <si>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</si>
  <si>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</si>
  <si>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</si>
  <si>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</si>
  <si>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</si>
  <si>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</si>
  <si>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</si>
  <si>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</si>
  <si>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</si>
  <si>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</si>
  <si>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</si>
  <si>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</si>
  <si>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</si>
  <si>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</si>
  <si>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</si>
  <si>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</si>
  <si>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</si>
  <si>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</si>
  <si>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</si>
  <si>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</si>
  <si>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</si>
  <si>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</si>
  <si>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</si>
  <si>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</si>
  <si>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</si>
  <si>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</si>
  <si>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</si>
  <si>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</si>
  <si>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</si>
  <si>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</si>
  <si>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</si>
  <si>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</si>
  <si>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</si>
  <si>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</si>
  <si>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</si>
  <si>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</si>
  <si>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</si>
  <si>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</si>
  <si>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</si>
  <si>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</si>
  <si>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</si>
  <si>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</si>
  <si>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</si>
  <si>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</si>
  <si>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</si>
  <si>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</si>
  <si>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</si>
  <si>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</si>
  <si>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</si>
  <si>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</si>
  <si>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</si>
  <si>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</si>
  <si>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</si>
  <si>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</si>
  <si>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</si>
  <si>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</si>
  <si>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</si>
  <si>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</si>
  <si>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</si>
  <si>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</si>
  <si>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</si>
  <si>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</si>
  <si>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</si>
  <si>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</si>
  <si>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</si>
  <si>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</si>
  <si>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</si>
  <si>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</si>
  <si>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</si>
  <si>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</si>
  <si>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</si>
  <si>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</si>
  <si>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</si>
  <si>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</si>
  <si>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</si>
  <si>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</si>
  <si>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</si>
  <si>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</si>
  <si>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</si>
  <si>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</si>
  <si>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</si>
  <si>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</si>
  <si>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</si>
  <si>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</si>
  <si>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</si>
  <si>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</si>
  <si>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</si>
  <si>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</si>
  <si>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</si>
  <si>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</si>
  <si>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</si>
  <si>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</si>
  <si>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</si>
  <si>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</si>
  <si>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</si>
  <si>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</si>
  <si>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</si>
  <si>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</si>
  <si>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</si>
  <si>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</si>
  <si>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</si>
  <si>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</si>
  <si>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</si>
  <si>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</si>
  <si>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</si>
  <si>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</si>
  <si>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</si>
  <si>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</si>
  <si>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</si>
  <si>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</si>
  <si>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</si>
  <si>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</si>
  <si>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</si>
  <si>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</si>
  <si>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</si>
  <si>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</si>
  <si>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</si>
  <si>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</si>
  <si>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</si>
  <si>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</si>
  <si>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</si>
  <si>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</si>
  <si>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</si>
  <si>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</si>
  <si>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</si>
  <si>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</si>
  <si>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</si>
  <si>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</si>
  <si>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</si>
  <si>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</si>
  <si>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</si>
  <si>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</si>
  <si>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</si>
  <si>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</si>
  <si>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</si>
  <si>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</si>
  <si>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</si>
  <si>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</si>
  <si>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</si>
  <si>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</si>
  <si>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</si>
  <si>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</si>
  <si>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</si>
  <si>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</si>
  <si>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</si>
  <si>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</si>
  <si>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</si>
  <si>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</si>
  <si>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</si>
  <si>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</si>
  <si>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</si>
  <si>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</si>
  <si>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</si>
  <si>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</si>
  <si>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</si>
  <si>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</si>
  <si>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</si>
  <si>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</si>
  <si>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</si>
  <si>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</si>
  <si>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</si>
  <si>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</si>
  <si>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</si>
  <si>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</si>
  <si>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</si>
  <si>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</si>
  <si>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</si>
  <si>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</si>
  <si>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</si>
  <si>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</si>
  <si>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</si>
  <si>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</si>
  <si>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</si>
  <si>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</si>
  <si>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</si>
  <si>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</si>
  <si>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</si>
  <si>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</si>
  <si>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</si>
  <si>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</si>
  <si>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</si>
  <si>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</si>
  <si>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</si>
  <si>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</si>
  <si>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</si>
  <si>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</si>
  <si>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</si>
  <si>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</si>
  <si>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</si>
  <si>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</si>
  <si>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</si>
  <si>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</si>
  <si>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</si>
  <si>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</si>
  <si>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</si>
  <si>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</si>
  <si>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</si>
  <si>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</si>
  <si>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</si>
  <si>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</si>
  <si>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</si>
  <si>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</si>
  <si>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</si>
  <si>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</si>
  <si>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</si>
  <si>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</si>
  <si>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</si>
  <si>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</si>
  <si>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</si>
  <si>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</si>
  <si>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</si>
  <si>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</si>
  <si>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</si>
  <si>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</si>
  <si>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</si>
  <si>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</si>
  <si>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</si>
  <si>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</si>
  <si>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</si>
  <si>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</si>
  <si>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</si>
  <si>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</si>
  <si>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</si>
  <si>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</si>
  <si>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</si>
  <si>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</si>
  <si>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</si>
  <si>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</si>
  <si>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</si>
  <si>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</si>
  <si>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</si>
  <si>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</si>
  <si>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</si>
  <si>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</si>
  <si>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</si>
  <si>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</si>
  <si>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</si>
  <si>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</si>
  <si>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</si>
  <si>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</si>
  <si>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</si>
  <si>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</si>
  <si>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</si>
  <si>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</si>
  <si>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</si>
  <si>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</si>
  <si>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</si>
  <si>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</si>
  <si>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</si>
  <si>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</si>
  <si>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</si>
  <si>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</si>
  <si>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</si>
  <si>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</si>
  <si>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</si>
  <si>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</si>
  <si>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</si>
  <si>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</si>
  <si>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</si>
  <si>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</si>
  <si>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</si>
  <si>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</si>
  <si>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</si>
  <si>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</si>
  <si>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</si>
  <si>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</si>
  <si>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</si>
  <si>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</si>
  <si>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</si>
  <si>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</si>
  <si>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</si>
  <si>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</si>
  <si>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</si>
  <si>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</si>
  <si>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</si>
  <si>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</si>
  <si>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</si>
  <si>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</si>
  <si>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</si>
  <si>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</si>
  <si>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</si>
  <si>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</si>
  <si>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</si>
  <si>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</si>
  <si>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</si>
  <si>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</si>
  <si>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</si>
  <si>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</si>
  <si>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</si>
  <si>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</si>
  <si>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</si>
  <si>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</si>
  <si>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</si>
  <si>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</si>
  <si>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</si>
  <si>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</si>
  <si>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</si>
  <si>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</si>
  <si>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</si>
  <si>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</si>
  <si>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</si>
  <si>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</si>
  <si>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</si>
  <si>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</si>
  <si>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</si>
  <si>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</si>
  <si>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</si>
  <si>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</si>
  <si>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</si>
  <si>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</si>
  <si>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</si>
  <si>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</si>
  <si>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</si>
  <si>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</si>
  <si>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</si>
  <si>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</si>
  <si>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</si>
  <si>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</si>
  <si>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</si>
  <si>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</si>
  <si>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</si>
  <si>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</si>
  <si>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</si>
  <si>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</si>
  <si>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</si>
  <si>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</si>
  <si>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</si>
  <si>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</si>
  <si>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</si>
  <si>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</si>
  <si>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</si>
  <si>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</si>
  <si>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</si>
  <si>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</si>
  <si>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</si>
  <si>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</si>
  <si>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</si>
  <si>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</si>
  <si>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</si>
  <si>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</si>
  <si>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</si>
  <si>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</si>
  <si>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</si>
  <si>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</si>
  <si>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</si>
  <si>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</si>
  <si>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</si>
  <si>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</si>
  <si>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</si>
  <si>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</si>
  <si>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</si>
  <si>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</si>
  <si>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</si>
  <si>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</si>
  <si>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</si>
  <si>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</si>
  <si>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</si>
  <si>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</si>
  <si>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</si>
  <si>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</si>
  <si>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</si>
  <si>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</si>
  <si>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</si>
  <si>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</si>
  <si>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</si>
  <si>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</si>
  <si>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</si>
  <si>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</si>
  <si>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</si>
  <si>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</si>
  <si>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</si>
  <si>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</si>
  <si>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</si>
  <si>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</si>
  <si>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</si>
  <si>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</si>
  <si>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</si>
  <si>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</si>
  <si>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</si>
  <si>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</si>
  <si>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</si>
  <si>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</si>
  <si>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</si>
  <si>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</si>
  <si>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</si>
  <si>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</si>
  <si>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</si>
  <si>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</si>
  <si>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</si>
  <si>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</si>
  <si>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</si>
  <si>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</si>
  <si>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</si>
  <si>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</si>
  <si>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</si>
  <si>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</si>
  <si>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</si>
  <si>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</si>
  <si>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</si>
  <si>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</si>
  <si>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</si>
  <si>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</si>
  <si>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</si>
  <si>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</si>
  <si>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</si>
  <si>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</si>
  <si>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</si>
  <si>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</si>
  <si>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</si>
  <si>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</si>
  <si>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</si>
  <si>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</si>
  <si>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</si>
  <si>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</si>
  <si>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</si>
  <si>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</si>
  <si>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</si>
  <si>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</si>
  <si>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</si>
  <si>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</si>
  <si>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</si>
  <si>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</si>
  <si>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</si>
  <si>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</si>
  <si>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</si>
  <si>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</si>
  <si>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</si>
  <si>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</si>
  <si>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</si>
  <si>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</si>
  <si>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</si>
  <si>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</si>
  <si>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</si>
  <si>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</si>
  <si>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</si>
  <si>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</si>
  <si>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</si>
  <si>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</si>
  <si>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</si>
  <si>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</si>
  <si>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</si>
  <si>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</si>
  <si>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</si>
  <si>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</si>
  <si>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</si>
  <si>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</si>
  <si>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</si>
  <si>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</si>
  <si>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</si>
  <si>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</si>
  <si>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</si>
  <si>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</si>
  <si>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</si>
  <si>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</si>
  <si>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</si>
  <si>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</si>
  <si>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</si>
  <si>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</si>
  <si>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</si>
  <si>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</si>
  <si>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</si>
  <si>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</si>
  <si>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</si>
  <si>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</si>
  <si>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</si>
  <si>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</si>
  <si>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</si>
  <si>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</si>
  <si>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</si>
  <si>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</si>
  <si>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</si>
  <si>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</si>
  <si>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</si>
  <si>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</si>
  <si>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</si>
  <si>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</si>
  <si>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</si>
  <si>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</si>
  <si>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</si>
  <si>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</si>
  <si>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</si>
  <si>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</si>
  <si>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</si>
  <si>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</si>
  <si>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</si>
  <si>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</si>
  <si>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</si>
  <si>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</si>
  <si>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</si>
  <si>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</si>
  <si>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</si>
  <si>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</si>
  <si>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</si>
  <si>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</si>
  <si>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</si>
  <si>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</si>
  <si>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</si>
  <si>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</si>
  <si>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</si>
  <si>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</si>
  <si>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</si>
  <si>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</si>
  <si>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</si>
  <si>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</si>
  <si>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</si>
  <si>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</si>
  <si>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</si>
  <si>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</si>
  <si>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</si>
  <si>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</si>
  <si>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</si>
  <si>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</si>
  <si>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</si>
  <si>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</si>
  <si>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</si>
  <si>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</si>
  <si>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</si>
  <si>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</si>
  <si>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</si>
  <si>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</si>
  <si>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</si>
  <si>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</si>
  <si>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</si>
  <si>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</si>
  <si>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</si>
  <si>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</si>
  <si>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</si>
  <si>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</si>
  <si>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</si>
  <si>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</si>
  <si>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</si>
  <si>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</si>
  <si>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</si>
  <si>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</si>
  <si>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</si>
  <si>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</si>
  <si>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</si>
  <si>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</si>
  <si>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</si>
  <si>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</si>
  <si>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</si>
  <si>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</si>
  <si>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</si>
  <si>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</si>
  <si>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</si>
  <si>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</si>
  <si>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</si>
  <si>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</si>
  <si>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</si>
  <si>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</si>
  <si>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</si>
  <si>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</si>
  <si>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</si>
  <si>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</si>
  <si>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</si>
  <si>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</si>
  <si>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</si>
  <si>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</si>
  <si>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</si>
  <si>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</si>
  <si>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</si>
  <si>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</si>
  <si>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</si>
  <si>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</si>
  <si>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</si>
  <si>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</si>
  <si>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</si>
  <si>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</si>
  <si>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</si>
  <si>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</si>
  <si>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</si>
  <si>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</si>
  <si>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</si>
  <si>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</si>
  <si>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</si>
  <si>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</si>
  <si>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</si>
  <si>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</si>
  <si>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</si>
  <si>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</si>
  <si>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</si>
  <si>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</si>
  <si>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</si>
  <si>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</si>
  <si>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</si>
  <si>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</si>
  <si>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</si>
  <si>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</si>
  <si>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</si>
  <si>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</si>
  <si>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</si>
  <si>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</si>
  <si>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</si>
  <si>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</si>
  <si>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</si>
  <si>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</si>
  <si>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</si>
  <si>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</si>
  <si>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</si>
  <si>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</si>
  <si>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</si>
  <si>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</si>
  <si>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</si>
  <si>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</si>
  <si>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</si>
  <si>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</si>
  <si>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</si>
  <si>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</si>
  <si>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</si>
  <si>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</si>
  <si>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</si>
  <si>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</si>
  <si>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</si>
  <si>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</si>
  <si>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</si>
  <si>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</si>
  <si>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</si>
  <si>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</si>
  <si>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</si>
  <si>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</si>
  <si>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</si>
  <si>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</si>
  <si>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</si>
  <si>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</si>
  <si>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</si>
  <si>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</si>
  <si>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</si>
  <si>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</si>
  <si>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</si>
  <si>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</si>
  <si>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</si>
  <si>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</si>
  <si>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</si>
  <si>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</si>
  <si>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</si>
  <si>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</si>
  <si>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</si>
  <si>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</si>
  <si>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</si>
  <si>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</si>
  <si>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</si>
  <si>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</si>
  <si>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</si>
  <si>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</si>
  <si>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</si>
  <si>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</si>
  <si>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</si>
  <si>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</si>
  <si>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</si>
  <si>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</si>
  <si>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</si>
  <si>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</si>
  <si>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</si>
  <si>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</si>
  <si>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</si>
  <si>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</si>
  <si>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</si>
  <si>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</si>
  <si>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</si>
  <si>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</si>
  <si>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</si>
  <si>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</si>
  <si>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</si>
  <si>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</si>
  <si>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</si>
  <si>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</si>
  <si>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</si>
  <si>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</si>
  <si>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</si>
  <si>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</si>
  <si>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</si>
  <si>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</si>
  <si>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</si>
  <si>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</si>
  <si>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</si>
  <si>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</si>
  <si>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</si>
  <si>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</si>
  <si>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</si>
  <si>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</si>
  <si>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</si>
  <si>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</si>
  <si>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</si>
  <si>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</si>
  <si>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</si>
  <si>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</si>
  <si>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</si>
  <si>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</si>
  <si>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</si>
  <si>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</si>
  <si>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</si>
  <si>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</si>
  <si>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</si>
  <si>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</si>
  <si>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</si>
  <si>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</si>
  <si>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</si>
  <si>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</si>
  <si>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</si>
  <si>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</si>
  <si>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</si>
  <si>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</si>
  <si>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</si>
  <si>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</si>
  <si>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</si>
  <si>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</si>
  <si>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</si>
  <si>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</si>
  <si>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</si>
  <si>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</si>
  <si>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</si>
  <si>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</si>
  <si>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</si>
  <si>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</si>
  <si>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</si>
  <si>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</si>
  <si>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</si>
  <si>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</si>
  <si>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</si>
  <si>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</si>
  <si>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</si>
  <si>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</si>
  <si>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</si>
  <si>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</si>
  <si>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</si>
  <si>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</si>
  <si>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</si>
  <si>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</si>
  <si>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</si>
  <si>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</si>
  <si>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</si>
  <si>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</si>
  <si>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</si>
  <si>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</si>
  <si>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</si>
  <si>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</si>
  <si>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</si>
  <si>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</si>
  <si>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</si>
  <si>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</si>
  <si>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</si>
  <si>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</si>
  <si>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</si>
  <si>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</si>
  <si>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</si>
  <si>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</si>
  <si>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</si>
  <si>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</si>
  <si>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</si>
  <si>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</si>
  <si>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</si>
  <si>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</si>
  <si>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</si>
  <si>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</si>
  <si>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</si>
  <si>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</si>
  <si>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</si>
  <si>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</si>
  <si>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</si>
  <si>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</si>
  <si>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</si>
  <si>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</si>
  <si>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</si>
  <si>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</si>
  <si>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</si>
  <si>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</si>
  <si>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</si>
  <si>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</si>
  <si>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</si>
  <si>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</si>
  <si>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</si>
  <si>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</si>
  <si>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</si>
  <si>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</si>
  <si>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</si>
  <si>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</si>
  <si>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</si>
  <si>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</si>
  <si>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</si>
  <si>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</si>
  <si>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</si>
  <si>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</si>
  <si>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</si>
  <si>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</si>
  <si>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</si>
  <si>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</si>
  <si>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</si>
  <si>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</si>
  <si>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</si>
  <si>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</si>
  <si>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</si>
  <si>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</si>
  <si>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</si>
  <si>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</si>
  <si>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</si>
  <si>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</si>
  <si>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</si>
  <si>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</si>
  <si>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</si>
  <si>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</si>
  <si>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</si>
  <si>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</si>
  <si>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</si>
  <si>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</si>
  <si>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</si>
  <si>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</si>
  <si>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</si>
  <si>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</si>
  <si>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</si>
  <si>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</si>
  <si>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</si>
  <si>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</si>
  <si>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</si>
  <si>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</si>
  <si>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</si>
  <si>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</si>
  <si>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</si>
  <si>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</si>
  <si>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</si>
  <si>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</si>
  <si>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</si>
  <si>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</si>
  <si>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</si>
  <si>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</si>
  <si>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</si>
  <si>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</si>
  <si>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</si>
  <si>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</si>
  <si>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</si>
  <si>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</si>
  <si>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</si>
  <si>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</si>
  <si>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</si>
  <si>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</si>
  <si>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</si>
  <si>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</si>
  <si>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</si>
  <si>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</si>
  <si>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</si>
  <si>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</si>
  <si>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</si>
  <si>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</si>
  <si>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</si>
  <si>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</si>
  <si>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</si>
  <si>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</si>
  <si>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</si>
  <si>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</si>
  <si>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</si>
  <si>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</si>
  <si>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</si>
  <si>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</si>
  <si>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</si>
  <si>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</si>
  <si>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</si>
  <si>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</si>
  <si>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</si>
  <si>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</si>
  <si>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</si>
  <si>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</si>
  <si>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</si>
  <si>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</si>
  <si>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</si>
  <si>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</si>
  <si>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</si>
  <si>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</si>
  <si>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</si>
  <si>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</si>
  <si>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</si>
  <si>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</si>
  <si>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</si>
  <si>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</si>
  <si>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</si>
  <si>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</si>
  <si>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</si>
  <si>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</si>
  <si>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</si>
  <si>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</si>
  <si>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</si>
  <si>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</si>
  <si>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</si>
  <si>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</si>
  <si>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</si>
  <si>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</si>
  <si>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</si>
  <si>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</si>
  <si>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</si>
  <si>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</si>
  <si>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</si>
  <si>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</si>
  <si>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</si>
  <si>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</si>
  <si>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</si>
  <si>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</si>
  <si>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</si>
  <si>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</si>
  <si>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</si>
  <si>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</si>
  <si>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</si>
  <si>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</si>
  <si>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</si>
  <si>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</si>
  <si>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</si>
  <si>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</si>
  <si>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</si>
  <si>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</si>
  <si>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</si>
  <si>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</si>
  <si>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</si>
  <si>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</si>
  <si>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</si>
  <si>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</si>
  <si>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</si>
  <si>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</si>
  <si>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</si>
  <si>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</si>
  <si>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</si>
  <si>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</si>
  <si>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</si>
  <si>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</si>
  <si>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</si>
  <si>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</si>
  <si>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</si>
  <si>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</si>
  <si>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</si>
  <si>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</si>
  <si>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</si>
  <si>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</si>
  <si>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</si>
  <si>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</si>
  <si>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</si>
  <si>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</si>
  <si>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</si>
  <si>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</si>
  <si>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</si>
  <si>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</si>
  <si>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</si>
  <si>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</si>
  <si>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</si>
  <si>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</si>
  <si>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</si>
  <si>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</si>
  <si>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</si>
  <si>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</si>
  <si>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</si>
  <si>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</si>
  <si>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</si>
  <si>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</si>
  <si>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</si>
  <si>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</si>
  <si>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</si>
  <si>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</si>
  <si>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</si>
  <si>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</si>
  <si>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</si>
  <si>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</si>
  <si>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</si>
  <si>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</si>
  <si>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</si>
  <si>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</si>
  <si>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</si>
  <si>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</si>
  <si>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</si>
  <si>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</si>
  <si>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</si>
  <si>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</si>
  <si>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</si>
  <si>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</si>
  <si>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</si>
  <si>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</si>
  <si>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</si>
  <si>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</si>
  <si>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</si>
  <si>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</si>
  <si>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</si>
  <si>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</si>
  <si>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</si>
  <si>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</si>
  <si>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</si>
  <si>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</si>
  <si>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</si>
  <si>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</si>
  <si>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</si>
  <si>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</si>
  <si>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</si>
  <si>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</si>
  <si>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</si>
  <si>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</si>
  <si>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</si>
  <si>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</si>
  <si>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</si>
  <si>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</si>
  <si>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</si>
  <si>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</si>
  <si>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</si>
  <si>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</si>
  <si>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</si>
  <si>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</si>
  <si>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</si>
  <si>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</si>
  <si>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</si>
  <si>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</si>
  <si>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</si>
  <si>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</si>
  <si>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</si>
  <si>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</si>
  <si>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</si>
  <si>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</si>
  <si>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</si>
  <si>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</si>
  <si>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</si>
  <si>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</si>
  <si>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</si>
  <si>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</si>
  <si>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</si>
  <si>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</si>
  <si>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</si>
  <si>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</si>
  <si>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</si>
  <si>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</si>
  <si>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</si>
  <si>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</si>
  <si>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</si>
  <si>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</si>
  <si>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</si>
  <si>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</si>
  <si>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</si>
  <si>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</si>
  <si>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</si>
  <si>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</si>
  <si>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</si>
  <si>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</si>
  <si>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</si>
  <si>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</si>
  <si>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</si>
  <si>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</si>
  <si>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</si>
  <si>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</si>
  <si>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</si>
  <si>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</si>
  <si>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</si>
  <si>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</si>
  <si>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</si>
  <si>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</si>
  <si>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</si>
  <si>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</si>
  <si>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</si>
  <si>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</si>
  <si>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</si>
  <si>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</si>
  <si>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</si>
  <si>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</si>
  <si>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</si>
  <si>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</si>
  <si>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</si>
  <si>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</si>
  <si>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</si>
  <si>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</si>
  <si>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</si>
  <si>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</si>
  <si>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</si>
  <si>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</si>
  <si>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</si>
  <si>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</si>
  <si>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</si>
  <si>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</si>
  <si>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</si>
  <si>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</si>
  <si>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</si>
  <si>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</si>
  <si>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</si>
  <si>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</si>
  <si>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</si>
  <si>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</si>
  <si>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</si>
  <si>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</si>
  <si>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</si>
  <si>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</si>
  <si>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</si>
  <si>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</si>
  <si>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</si>
  <si>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</si>
  <si>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</si>
  <si>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</si>
  <si>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</si>
  <si>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</si>
  <si>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</si>
  <si>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</si>
  <si>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</si>
  <si>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</si>
  <si>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</si>
  <si>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</si>
  <si>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</si>
  <si>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</si>
  <si>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</si>
  <si>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</si>
  <si>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</si>
  <si>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</si>
  <si>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</si>
  <si>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</si>
  <si>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</si>
  <si>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</si>
  <si>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</si>
  <si>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</si>
  <si>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</si>
  <si>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</si>
  <si>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</si>
  <si>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</si>
  <si>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</si>
  <si>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</si>
  <si>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</si>
  <si>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</si>
  <si>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</si>
  <si>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</si>
  <si>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</si>
  <si>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</si>
  <si>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</si>
  <si>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</si>
  <si>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</si>
  <si>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</si>
  <si>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</si>
  <si>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</si>
  <si>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</si>
  <si>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</si>
  <si>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</si>
  <si>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</si>
  <si>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</si>
  <si>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</si>
  <si>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</si>
  <si>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</si>
  <si>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</si>
  <si>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</si>
  <si>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</si>
  <si>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</si>
  <si>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</si>
  <si>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</si>
  <si>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</si>
  <si>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</si>
  <si>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</si>
  <si>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</si>
  <si>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</si>
  <si>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</si>
  <si>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</si>
  <si>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</si>
  <si>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</si>
  <si>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</si>
  <si>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</si>
  <si>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</si>
  <si>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</si>
  <si>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</si>
  <si>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</si>
  <si>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</si>
  <si>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</si>
  <si>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</si>
  <si>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</si>
  <si>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</si>
  <si>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</si>
  <si>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</si>
  <si>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</si>
  <si>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</si>
  <si>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</si>
  <si>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</si>
  <si>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</si>
  <si>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</si>
  <si>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</si>
  <si>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</si>
  <si>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</si>
  <si>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</si>
  <si>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</si>
  <si>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</si>
  <si>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</si>
  <si>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</si>
  <si>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</si>
  <si>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</si>
  <si>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</si>
  <si>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</si>
  <si>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</si>
  <si>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</si>
  <si>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</si>
  <si>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</si>
  <si>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</si>
  <si>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</si>
  <si>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</si>
  <si>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</si>
  <si>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</si>
  <si>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</si>
  <si>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</si>
  <si>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</si>
  <si>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</si>
  <si>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</si>
  <si>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</si>
  <si>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</si>
  <si>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</si>
  <si>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</si>
  <si>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</si>
  <si>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</si>
  <si>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</si>
  <si>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</si>
  <si>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</si>
  <si>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</si>
  <si>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</si>
  <si>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</si>
  <si>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</si>
  <si>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</si>
  <si>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</si>
  <si>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</si>
  <si>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</si>
  <si>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</si>
  <si>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</si>
  <si>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</si>
  <si>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</si>
  <si>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</si>
  <si>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</si>
  <si>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</si>
  <si>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</si>
  <si>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</si>
  <si>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</si>
  <si>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</si>
  <si>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</si>
  <si>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</si>
  <si>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</si>
  <si>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</si>
  <si>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</si>
  <si>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</si>
  <si>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</si>
  <si>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</si>
  <si>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</si>
  <si>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</si>
  <si>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</si>
  <si>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</si>
  <si>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</si>
  <si>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</si>
  <si>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</si>
  <si>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</si>
  <si>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</si>
  <si>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</si>
  <si>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</si>
  <si>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</si>
  <si>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</si>
  <si>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</si>
  <si>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</si>
  <si>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</si>
  <si>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</si>
  <si>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</si>
  <si>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</si>
  <si>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</si>
  <si>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</si>
  <si>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</si>
  <si>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</si>
  <si>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</si>
  <si>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</si>
  <si>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</si>
  <si>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</si>
  <si>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</si>
  <si>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</si>
  <si>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</si>
  <si>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</si>
  <si>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</si>
  <si>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</si>
  <si>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</si>
  <si>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</si>
  <si>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</si>
  <si>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</si>
  <si>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</si>
  <si>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</si>
  <si>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</si>
  <si>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</si>
  <si>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</si>
  <si>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</si>
  <si>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</si>
  <si>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</si>
  <si>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</si>
  <si>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</si>
  <si>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</si>
  <si>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</si>
  <si>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</si>
  <si>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</si>
  <si>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</si>
  <si>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</si>
  <si>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</si>
  <si>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</si>
  <si>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</si>
  <si>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</si>
  <si>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</si>
  <si>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</si>
  <si>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</si>
  <si>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</si>
  <si>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</si>
  <si>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</si>
  <si>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</si>
  <si>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</si>
  <si>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</si>
  <si>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</si>
  <si>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</si>
  <si>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</si>
  <si>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</si>
  <si>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</si>
  <si>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</si>
  <si>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</si>
  <si>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</si>
  <si>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</si>
  <si>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</si>
  <si>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</si>
  <si>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</si>
  <si>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</si>
  <si>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</si>
  <si>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</si>
  <si>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</si>
  <si>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</si>
  <si>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</si>
  <si>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</si>
  <si>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</si>
  <si>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</si>
  <si>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</si>
  <si>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</si>
  <si>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</si>
  <si>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</si>
  <si>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</si>
  <si>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</si>
  <si>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</si>
  <si>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</si>
  <si>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</si>
  <si>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</si>
  <si>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</si>
  <si>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</si>
  <si>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</si>
  <si>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</si>
  <si>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</si>
  <si>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</si>
  <si>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</si>
  <si>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</si>
  <si>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</si>
  <si>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</si>
  <si>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</si>
  <si>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</si>
  <si>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</si>
  <si>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</si>
  <si>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</si>
  <si>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</si>
  <si>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</si>
  <si>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</si>
  <si>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</si>
  <si>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</si>
  <si>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</si>
  <si>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</si>
  <si>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</si>
  <si>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</si>
  <si>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</si>
  <si>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</si>
  <si>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</si>
  <si>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</si>
  <si>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</si>
  <si>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</si>
  <si>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</si>
  <si>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</si>
  <si>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</si>
  <si>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</si>
  <si>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</si>
  <si>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</si>
  <si>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</si>
  <si>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</si>
  <si>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</si>
  <si>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</si>
  <si>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</si>
  <si>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</si>
  <si>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</si>
  <si>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</si>
  <si>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</si>
  <si>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</si>
  <si>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</si>
  <si>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</si>
  <si>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</si>
  <si>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</si>
  <si>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</si>
  <si>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</si>
  <si>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</si>
  <si>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</si>
  <si>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</si>
  <si>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</si>
  <si>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</si>
  <si>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</si>
  <si>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</si>
  <si>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</si>
  <si>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</si>
  <si>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</si>
  <si>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</si>
  <si>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</si>
  <si>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</si>
  <si>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</si>
  <si>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</si>
  <si>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</si>
  <si>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</si>
  <si>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</si>
  <si>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</si>
  <si>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</si>
  <si>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</si>
  <si>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</si>
  <si>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</si>
  <si>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</si>
  <si>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</si>
  <si>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</si>
  <si>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</si>
  <si>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</si>
  <si>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</si>
  <si>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</si>
  <si>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</si>
  <si>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</si>
  <si>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</si>
  <si>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</si>
  <si>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</si>
  <si>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</si>
  <si>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</si>
  <si>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</si>
  <si>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</si>
  <si>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</si>
  <si>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</si>
  <si>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</si>
  <si>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</si>
  <si>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</si>
  <si>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</si>
  <si>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</si>
  <si>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</si>
  <si>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</si>
  <si>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</si>
  <si>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</si>
  <si>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</si>
  <si>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</si>
  <si>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</si>
  <si>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</si>
  <si>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</si>
  <si>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</si>
  <si>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</si>
  <si>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</si>
  <si>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</si>
  <si>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</si>
  <si>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</si>
  <si>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</si>
  <si>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</si>
  <si>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</si>
  <si>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</si>
  <si>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</si>
  <si>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</si>
  <si>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</si>
  <si>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</si>
  <si>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</si>
  <si>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</si>
  <si>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</si>
  <si>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</si>
  <si>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</si>
  <si>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</si>
  <si>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</si>
  <si>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</si>
  <si>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</si>
  <si>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</si>
  <si>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</si>
  <si>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</si>
  <si>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</si>
  <si>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</si>
  <si>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</si>
  <si>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</si>
  <si>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</si>
  <si>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</si>
  <si>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</si>
  <si>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</si>
  <si>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</si>
  <si>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</si>
  <si>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</si>
  <si>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</si>
  <si>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</si>
  <si>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</si>
  <si>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</si>
  <si>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</si>
  <si>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</si>
  <si>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</si>
  <si>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</si>
  <si>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</si>
  <si>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</si>
  <si>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</si>
  <si>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</si>
  <si>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</si>
  <si>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</si>
  <si>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</si>
  <si>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</si>
  <si>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</si>
  <si>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</si>
  <si>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</si>
  <si>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</si>
  <si>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</si>
  <si>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</si>
  <si>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</si>
  <si>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</si>
  <si>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</si>
  <si>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</si>
  <si>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</si>
  <si>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</si>
  <si>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</si>
  <si>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</si>
  <si>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</si>
  <si>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</si>
  <si>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</si>
  <si>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</si>
  <si>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</si>
  <si>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</si>
  <si>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</si>
  <si>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</si>
  <si>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</si>
  <si>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</si>
  <si>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</si>
  <si>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</si>
  <si>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</si>
  <si>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</si>
  <si>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</si>
  <si>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</si>
  <si>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</si>
  <si>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</si>
  <si>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</si>
  <si>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</si>
  <si>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</si>
  <si>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</si>
  <si>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</si>
  <si>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</si>
  <si>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</si>
  <si>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</si>
  <si>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</si>
  <si>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</si>
  <si>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</si>
  <si>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</si>
  <si>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</si>
  <si>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</si>
  <si>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</si>
  <si>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</si>
  <si>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</si>
  <si>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</si>
  <si>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</si>
  <si>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</si>
  <si>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</si>
  <si>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</si>
  <si>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</si>
  <si>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</si>
  <si>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</si>
  <si>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</si>
  <si>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</si>
  <si>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</si>
  <si>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</si>
  <si>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</si>
  <si>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</si>
  <si>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</si>
  <si>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</si>
  <si>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</si>
  <si>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</si>
  <si>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</si>
  <si>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</si>
  <si>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</si>
  <si>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</si>
  <si>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</si>
  <si>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</si>
  <si>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</si>
  <si>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</si>
  <si>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</si>
  <si>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</si>
  <si>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</si>
  <si>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</si>
  <si>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</si>
  <si>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</si>
  <si>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</si>
  <si>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</si>
  <si>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</si>
  <si>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</si>
  <si>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</si>
  <si>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</si>
  <si>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</si>
  <si>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</si>
  <si>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</si>
  <si>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</si>
  <si>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</si>
  <si>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</si>
  <si>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</si>
  <si>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</si>
  <si>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</si>
  <si>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</si>
  <si>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</si>
  <si>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</si>
  <si>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</si>
  <si>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</si>
  <si>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</si>
  <si>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</si>
  <si>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</si>
  <si>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</si>
  <si>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</si>
  <si>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</si>
  <si>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</si>
  <si>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</si>
  <si>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</si>
  <si>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</si>
  <si>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</si>
  <si>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</si>
  <si>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</si>
  <si>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</si>
  <si>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</si>
  <si>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</si>
  <si>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</si>
  <si>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</si>
  <si>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</si>
  <si>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</si>
  <si>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</si>
  <si>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</si>
  <si>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</si>
  <si>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</si>
  <si>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</si>
  <si>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</si>
  <si>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</si>
  <si>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</si>
  <si>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</si>
  <si>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</si>
  <si>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</si>
  <si>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</si>
  <si>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</si>
  <si>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</si>
  <si>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</si>
  <si>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</si>
  <si>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</si>
  <si>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</si>
  <si>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</si>
  <si>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</si>
  <si>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</si>
  <si>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</si>
  <si>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</si>
  <si>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</si>
  <si>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</si>
  <si>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</si>
  <si>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</si>
  <si>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</si>
  <si>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</si>
  <si>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</si>
  <si>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</si>
  <si>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</si>
  <si>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</si>
  <si>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</si>
  <si>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</si>
  <si>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</si>
  <si>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</si>
  <si>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</si>
  <si>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</si>
  <si>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</si>
  <si>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</si>
  <si>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</si>
  <si>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</si>
  <si>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</si>
  <si>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</si>
  <si>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</si>
  <si>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</si>
  <si>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</si>
  <si>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</si>
  <si>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</si>
  <si>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</si>
  <si>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</si>
  <si>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</si>
  <si>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</si>
  <si>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</si>
  <si>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</si>
  <si>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</si>
  <si>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</si>
  <si>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</si>
  <si>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</si>
  <si>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</si>
  <si>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</si>
  <si>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</si>
  <si>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</si>
  <si>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</si>
  <si>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</si>
  <si>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</si>
  <si>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</si>
  <si>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</si>
  <si>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</si>
  <si>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</si>
  <si>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</si>
  <si>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</si>
  <si>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</si>
  <si>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</si>
  <si>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</si>
  <si>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</si>
  <si>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</si>
  <si>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</si>
  <si>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</si>
  <si>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</si>
  <si>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</si>
  <si>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</si>
  <si>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</si>
  <si>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</si>
  <si>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</si>
  <si>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</si>
  <si>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</si>
  <si>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</si>
  <si>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</si>
  <si>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</si>
  <si>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</si>
  <si>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</si>
  <si>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</si>
  <si>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</si>
  <si>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</si>
  <si>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</si>
  <si>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</si>
  <si>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</si>
  <si>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</si>
  <si>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</si>
  <si>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</si>
  <si>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</si>
  <si>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</si>
  <si>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</si>
  <si>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</si>
  <si>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</si>
  <si>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</si>
  <si>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</si>
  <si>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</si>
  <si>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</si>
  <si>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</si>
  <si>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</si>
  <si>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</si>
  <si>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</si>
  <si>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</si>
  <si>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</si>
  <si>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</si>
  <si>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</si>
  <si>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</si>
  <si>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</si>
  <si>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</si>
  <si>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</si>
  <si>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</si>
  <si>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</si>
  <si>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</si>
  <si>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</si>
  <si>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</si>
  <si>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</si>
  <si>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</si>
  <si>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</si>
  <si>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</si>
  <si>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</si>
  <si>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</si>
  <si>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</si>
  <si>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</si>
  <si>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</si>
  <si>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</si>
  <si>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</si>
  <si>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</si>
  <si>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</si>
  <si>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</si>
  <si>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</si>
  <si>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</si>
  <si>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</si>
  <si>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</si>
  <si>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</si>
  <si>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</si>
  <si>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</si>
  <si>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</si>
  <si>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</si>
  <si>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</si>
  <si>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</si>
  <si>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</si>
  <si>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</si>
  <si>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</si>
  <si>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</si>
  <si>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</si>
  <si>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</si>
  <si>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</si>
  <si>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</si>
  <si>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</si>
  <si>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</si>
  <si>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</si>
  <si>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</si>
  <si>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</si>
  <si>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</si>
  <si>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</si>
  <si>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</si>
  <si>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</si>
  <si>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</si>
  <si>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</si>
  <si>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</si>
  <si>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</si>
  <si>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</si>
  <si>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</si>
  <si>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</si>
  <si>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</si>
  <si>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</si>
  <si>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</si>
  <si>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</si>
  <si>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</si>
  <si>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</si>
  <si>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</si>
  <si>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</si>
  <si>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</si>
  <si>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</si>
  <si>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</si>
  <si>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</si>
  <si>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</si>
  <si>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</si>
  <si>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</si>
  <si>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</si>
  <si>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</si>
  <si>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</si>
  <si>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</si>
  <si>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</si>
  <si>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</si>
  <si>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</si>
  <si>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</si>
  <si>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</si>
  <si>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</si>
  <si>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</si>
  <si>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</si>
  <si>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</si>
  <si>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</si>
  <si>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</si>
  <si>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</si>
  <si>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</si>
  <si>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</si>
  <si>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</si>
  <si>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</si>
  <si>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</si>
  <si>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</si>
  <si>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</si>
  <si>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</si>
  <si>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</si>
  <si>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</si>
  <si>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</si>
  <si>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</si>
  <si>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</si>
  <si>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</si>
  <si>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</si>
  <si>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</si>
  <si>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</si>
  <si>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</si>
  <si>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</si>
  <si>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</si>
  <si>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</si>
  <si>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</si>
  <si>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</si>
  <si>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</si>
  <si>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</si>
  <si>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</si>
  <si>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</si>
  <si>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</si>
  <si>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</si>
  <si>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</si>
  <si>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</si>
  <si>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</si>
  <si>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</si>
  <si>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</si>
  <si>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</si>
  <si>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</si>
  <si>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</si>
  <si>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</si>
  <si>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</si>
  <si>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</si>
  <si>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</si>
  <si>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</si>
  <si>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</si>
  <si>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</si>
  <si>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</si>
  <si>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</si>
  <si>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</si>
  <si>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</si>
  <si>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</si>
  <si>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</si>
  <si>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</si>
  <si>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</si>
  <si>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</si>
  <si>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</si>
  <si>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</si>
  <si>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</si>
  <si>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</si>
  <si>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</si>
  <si>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</si>
  <si>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</si>
  <si>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</si>
  <si>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</si>
  <si>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</si>
  <si>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</si>
  <si>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</si>
  <si>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</si>
  <si>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</si>
  <si>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</si>
  <si>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</si>
  <si>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</si>
  <si>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</si>
  <si>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</si>
  <si>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</si>
  <si>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</si>
  <si>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</si>
  <si>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</si>
  <si>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</si>
  <si>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</si>
  <si>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</si>
  <si>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</si>
  <si>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</si>
  <si>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</si>
  <si>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</si>
  <si>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</si>
  <si>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</si>
  <si>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</si>
  <si>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</si>
  <si>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</si>
  <si>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</si>
  <si>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</si>
  <si>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</si>
  <si>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</si>
  <si>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</si>
  <si>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</si>
  <si>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</si>
  <si>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</si>
  <si>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</si>
  <si>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</si>
  <si>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</si>
  <si>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</si>
  <si>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</si>
  <si>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</si>
  <si>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</si>
  <si>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</si>
  <si>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</si>
  <si>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</si>
  <si>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</si>
  <si>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</si>
  <si>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</si>
  <si>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</si>
  <si>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</si>
  <si>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</si>
  <si>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</si>
  <si>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</si>
  <si>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</si>
  <si>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</si>
  <si>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</si>
  <si>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</si>
  <si>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</si>
  <si>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</si>
  <si>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</si>
  <si>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</si>
  <si>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</si>
  <si>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</si>
  <si>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</si>
  <si>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</si>
  <si>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</si>
  <si>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</si>
  <si>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</si>
  <si>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</si>
  <si>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</si>
  <si>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</si>
  <si>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</si>
  <si>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</si>
  <si>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</si>
  <si>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</si>
  <si>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</si>
  <si>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</si>
  <si>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</si>
  <si>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</si>
  <si>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</si>
  <si>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</si>
  <si>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</si>
  <si>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</si>
  <si>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</si>
  <si>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</si>
  <si>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</si>
  <si>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</si>
  <si>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</si>
  <si>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</si>
  <si>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</si>
  <si>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</si>
  <si>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</si>
  <si>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</si>
  <si>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</si>
  <si>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</si>
  <si>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</si>
  <si>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</si>
  <si>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</si>
  <si>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</si>
  <si>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</si>
  <si>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</si>
  <si>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</si>
  <si>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</si>
  <si>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</si>
  <si>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</si>
  <si>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</si>
  <si>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</si>
  <si>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</si>
  <si>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</si>
  <si>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</si>
  <si>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</si>
  <si>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</si>
  <si>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</si>
  <si>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</si>
  <si>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</si>
  <si>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</si>
  <si>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</si>
  <si>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</si>
  <si>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</si>
  <si>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</si>
  <si>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</si>
  <si>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</si>
  <si>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</si>
  <si>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</si>
  <si>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</si>
  <si>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</si>
  <si>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</si>
  <si>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</si>
  <si>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</si>
  <si>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</si>
  <si>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</si>
  <si>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</si>
  <si>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</si>
  <si>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</si>
  <si>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</si>
  <si>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</si>
  <si>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</si>
  <si>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</si>
  <si>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</si>
  <si>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</si>
  <si>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</si>
  <si>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</si>
  <si>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</si>
  <si>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</si>
  <si>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</si>
  <si>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</si>
  <si>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</si>
  <si>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</si>
  <si>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</si>
  <si>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</si>
  <si>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</si>
  <si>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</si>
  <si>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</si>
  <si>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</si>
  <si>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</si>
  <si>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</si>
  <si>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</si>
  <si>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</si>
  <si>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</si>
  <si>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</si>
  <si>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</si>
  <si>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</si>
  <si>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</si>
  <si>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</si>
  <si>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</si>
  <si>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</si>
  <si>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</si>
  <si>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</si>
  <si>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</si>
  <si>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</si>
  <si>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</si>
  <si>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</si>
  <si>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</si>
  <si>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</si>
  <si>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</si>
  <si>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</si>
  <si>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</si>
  <si>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</si>
  <si>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</si>
  <si>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</si>
  <si>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</si>
  <si>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</si>
  <si>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</si>
  <si>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</si>
  <si>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</si>
  <si>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</si>
  <si>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</si>
  <si>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</si>
  <si>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</si>
  <si>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</si>
  <si>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</si>
  <si>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</si>
  <si>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</si>
  <si>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</si>
  <si>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</si>
  <si>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</si>
  <si>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</si>
  <si>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</si>
  <si>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</si>
  <si>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</si>
  <si>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</si>
  <si>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</si>
  <si>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</si>
  <si>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</si>
  <si>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</si>
  <si>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</si>
  <si>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</si>
  <si>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</si>
  <si>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</si>
  <si>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</si>
  <si>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</si>
  <si>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</si>
  <si>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</si>
  <si>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</si>
  <si>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</si>
  <si>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</si>
  <si>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</si>
  <si>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</si>
  <si>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</si>
  <si>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</si>
  <si>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</si>
  <si>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</si>
  <si>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</si>
  <si>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</si>
  <si>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</si>
  <si>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</si>
  <si>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</si>
  <si>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</si>
  <si>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</si>
  <si>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</si>
  <si>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</si>
  <si>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</si>
  <si>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</si>
  <si>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</si>
  <si>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</si>
  <si>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</si>
  <si>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</si>
  <si>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</si>
  <si>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</si>
  <si>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</si>
  <si>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</si>
  <si>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</si>
  <si>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</si>
  <si>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</si>
  <si>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</si>
  <si>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</si>
  <si>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</si>
  <si>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</si>
  <si>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</si>
  <si>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</si>
  <si>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</si>
  <si>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</si>
  <si>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</si>
  <si>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</si>
  <si>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</si>
  <si>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</si>
  <si>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</si>
  <si>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</si>
  <si>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</si>
  <si>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</si>
  <si>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</si>
  <si>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</si>
  <si>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</si>
  <si>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</si>
  <si>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</si>
  <si>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</si>
  <si>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</si>
  <si>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</si>
  <si>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</si>
  <si>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</si>
  <si>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</si>
  <si>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</si>
  <si>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</si>
  <si>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</si>
  <si>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</si>
  <si>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</si>
  <si>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</si>
  <si>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</si>
  <si>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</si>
  <si>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</si>
  <si>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</si>
  <si>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</si>
  <si>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</si>
  <si>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</si>
  <si>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</si>
  <si>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</si>
  <si>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</si>
  <si>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</si>
  <si>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</si>
  <si>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</si>
  <si>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</si>
  <si>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</si>
  <si>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</si>
  <si>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</si>
  <si>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</si>
  <si>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</si>
  <si>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</si>
  <si>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</si>
  <si>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</si>
  <si>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</si>
  <si>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</si>
  <si>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</si>
  <si>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</si>
  <si>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</si>
  <si>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</si>
  <si>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</si>
  <si>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</si>
  <si>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</si>
  <si>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</si>
  <si>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</si>
  <si>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</si>
  <si>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</si>
  <si>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</si>
  <si>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</si>
  <si>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</si>
  <si>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</si>
  <si>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</si>
  <si>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</si>
  <si>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</si>
  <si>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</si>
  <si>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</si>
  <si>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</si>
  <si>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</si>
  <si>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</si>
  <si>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</si>
  <si>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</si>
  <si>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</si>
  <si>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</si>
  <si>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</si>
  <si>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</si>
  <si>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</si>
  <si>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</si>
  <si>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</si>
  <si>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</si>
  <si>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</si>
  <si>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</si>
  <si>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</si>
  <si>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</si>
  <si>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</si>
  <si>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</si>
  <si>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</si>
  <si>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</si>
  <si>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</si>
  <si>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</si>
  <si>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</si>
  <si>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</si>
  <si>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</si>
  <si>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</si>
  <si>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</si>
  <si>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</si>
  <si>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</si>
  <si>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</si>
  <si>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</si>
  <si>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</si>
  <si>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</si>
  <si>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</si>
  <si>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</si>
  <si>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</si>
  <si>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</si>
  <si>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</si>
  <si>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</si>
  <si>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</si>
  <si>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</si>
  <si>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</si>
  <si>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</si>
  <si>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</si>
  <si>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</si>
  <si>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</si>
  <si>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</si>
  <si>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</si>
  <si>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</si>
  <si>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</si>
  <si>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</si>
  <si>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</si>
  <si>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</si>
  <si>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</si>
  <si>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</si>
  <si>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</si>
  <si>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</si>
  <si>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</si>
  <si>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</si>
  <si>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</si>
  <si>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</si>
  <si>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</si>
  <si>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</si>
  <si>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</si>
  <si>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</si>
  <si>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</si>
  <si>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</si>
  <si>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</si>
  <si>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</si>
  <si>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</si>
  <si>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</si>
  <si>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</si>
  <si>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</si>
  <si>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</si>
  <si>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</si>
  <si>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</si>
  <si>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</si>
  <si>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</si>
  <si>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</si>
  <si>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</si>
  <si>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</si>
  <si>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</si>
  <si>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</si>
  <si>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</si>
  <si>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</si>
  <si>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</si>
  <si>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</si>
  <si>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</si>
  <si>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</si>
  <si>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</si>
  <si>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</si>
  <si>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</si>
  <si>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</si>
  <si>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</si>
  <si>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</si>
  <si>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</si>
  <si>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</si>
  <si>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</si>
  <si>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</si>
  <si>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</si>
  <si>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</si>
  <si>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</si>
  <si>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</si>
  <si>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</si>
  <si>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</si>
  <si>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</si>
  <si>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</si>
  <si>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</si>
  <si>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</si>
  <si>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</si>
  <si>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</si>
  <si>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</si>
  <si>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</si>
  <si>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</si>
  <si>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</si>
  <si>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</si>
  <si>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</si>
  <si>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</si>
  <si>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</si>
  <si>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</si>
  <si>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</si>
  <si>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</si>
  <si>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</si>
  <si>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</si>
  <si>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</si>
  <si>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</si>
  <si>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</si>
  <si>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</si>
  <si>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</si>
  <si>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</si>
  <si>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</si>
  <si>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</si>
  <si>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</si>
  <si>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</si>
  <si>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</si>
  <si>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</si>
  <si>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</si>
  <si>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</si>
  <si>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</si>
  <si>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</si>
  <si>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</si>
  <si>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</si>
  <si>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</si>
  <si>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</si>
  <si>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</si>
  <si>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</si>
  <si>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</si>
  <si>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</si>
  <si>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</si>
  <si>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</si>
  <si>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</si>
  <si>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</si>
  <si>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</si>
  <si>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</si>
  <si>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</si>
  <si>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</si>
  <si>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</si>
  <si>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</si>
  <si>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</si>
  <si>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</si>
  <si>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</si>
  <si>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</si>
  <si>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</si>
  <si>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</si>
  <si>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</si>
  <si>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</si>
  <si>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</si>
  <si>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</si>
  <si>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</si>
  <si>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</si>
  <si>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</si>
  <si>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</si>
  <si>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</si>
  <si>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</si>
  <si>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</si>
  <si>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</si>
  <si>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</si>
  <si>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</si>
  <si>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</si>
  <si>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</si>
  <si>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</si>
  <si>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</si>
  <si>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</si>
  <si>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</si>
  <si>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</si>
  <si>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</si>
  <si>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</si>
  <si>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</si>
  <si>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</si>
  <si>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</si>
  <si>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</si>
  <si>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</si>
  <si>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</si>
  <si>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</si>
  <si>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</si>
  <si>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</si>
  <si>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</si>
  <si>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</si>
  <si>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</si>
  <si>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</si>
  <si>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</si>
  <si>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</si>
  <si>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</si>
  <si>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</si>
  <si>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</si>
  <si>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</si>
  <si>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</si>
  <si>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</si>
  <si>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</si>
  <si>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</si>
  <si>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</si>
  <si>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</si>
  <si>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</si>
  <si>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</si>
  <si>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</si>
  <si>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</si>
  <si>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</si>
  <si>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</si>
  <si>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</si>
  <si>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</si>
  <si>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</si>
  <si>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</si>
  <si>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</si>
  <si>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</si>
  <si>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</si>
  <si>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</si>
  <si>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</si>
  <si>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</si>
  <si>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</si>
  <si>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</si>
  <si>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</si>
  <si>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</si>
  <si>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</si>
  <si>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</si>
  <si>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</si>
  <si>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</si>
  <si>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</si>
  <si>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</si>
  <si>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</si>
  <si>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</si>
  <si>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</si>
  <si>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</si>
  <si>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</si>
  <si>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</si>
  <si>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</si>
  <si>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</si>
  <si>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</si>
  <si>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</si>
  <si>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</si>
  <si>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</si>
  <si>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</si>
  <si>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</si>
  <si>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</si>
  <si>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</si>
  <si>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</si>
  <si>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</si>
  <si>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</si>
  <si>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</si>
  <si>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</si>
  <si>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</si>
  <si>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</si>
  <si>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</si>
  <si>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</si>
  <si>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</si>
  <si>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</si>
  <si>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</si>
  <si>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</si>
  <si>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</si>
  <si>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</si>
  <si>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</si>
  <si>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</si>
  <si>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</si>
  <si>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</si>
  <si>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</si>
  <si>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</si>
  <si>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</si>
  <si>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</si>
  <si>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</si>
  <si>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</si>
  <si>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</si>
  <si>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</si>
  <si>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</si>
  <si>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</si>
  <si>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</si>
  <si>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</si>
  <si>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</si>
  <si>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</si>
  <si>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</si>
  <si>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</si>
  <si>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</si>
  <si>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</si>
  <si>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</si>
  <si>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</si>
  <si>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</si>
  <si>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</si>
  <si>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</si>
  <si>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</si>
  <si>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</si>
  <si>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</si>
  <si>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</si>
  <si>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</si>
  <si>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</si>
  <si>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</si>
  <si>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</si>
  <si>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</si>
  <si>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</si>
  <si>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</si>
  <si>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</si>
  <si>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</si>
  <si>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</si>
  <si>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</si>
  <si>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</si>
  <si>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</si>
  <si>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</si>
  <si>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</si>
  <si>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</si>
  <si>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</si>
  <si>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</si>
  <si>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</si>
  <si>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</si>
  <si>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</si>
  <si>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</si>
  <si>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</si>
  <si>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</si>
  <si>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</si>
  <si>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</si>
  <si>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</si>
  <si>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</si>
  <si>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</si>
  <si>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</si>
  <si>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</si>
  <si>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</si>
  <si>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</si>
  <si>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</si>
  <si>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</si>
  <si>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</si>
  <si>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</si>
  <si>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</si>
  <si>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</si>
  <si>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</si>
  <si>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</si>
  <si>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</si>
  <si>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</si>
  <si>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</si>
  <si>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</si>
  <si>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</si>
  <si>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</si>
  <si>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</si>
  <si>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</si>
  <si>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</si>
  <si>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</si>
  <si>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</si>
  <si>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</si>
  <si>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</si>
  <si>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</si>
  <si>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</si>
  <si>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</si>
  <si>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</si>
  <si>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</si>
  <si>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</si>
  <si>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</si>
  <si>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</si>
  <si>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</si>
  <si>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</si>
  <si>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</si>
  <si>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</si>
  <si>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</si>
  <si>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</si>
  <si>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</si>
  <si>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</si>
  <si>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</si>
  <si>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</si>
  <si>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</si>
  <si>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</si>
  <si>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</si>
  <si>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</si>
  <si>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</si>
  <si>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</si>
  <si>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</si>
  <si>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</si>
  <si>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</si>
  <si>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</si>
  <si>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</si>
  <si>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</si>
  <si>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</si>
  <si>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</si>
  <si>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</si>
  <si>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</si>
  <si>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</si>
  <si>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</si>
  <si>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</si>
  <si>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</si>
  <si>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</si>
  <si>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</si>
  <si>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</si>
  <si>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</si>
  <si>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</si>
  <si>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</si>
  <si>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</si>
  <si>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</si>
  <si>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</si>
  <si>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</si>
  <si>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</si>
  <si>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</si>
  <si>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</si>
  <si>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</si>
  <si>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</si>
  <si>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</si>
  <si>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</si>
  <si>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</si>
  <si>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</si>
  <si>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</si>
  <si>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</si>
  <si>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</si>
  <si>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</si>
  <si>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</si>
  <si>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</si>
  <si>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</si>
  <si>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</si>
  <si>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</si>
  <si>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</si>
  <si>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</si>
  <si>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</si>
  <si>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</si>
  <si>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</si>
  <si>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</si>
  <si>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</si>
  <si>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</si>
  <si>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</si>
  <si>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</si>
  <si>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</si>
  <si>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</si>
  <si>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</si>
  <si>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</si>
  <si>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</si>
  <si>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</si>
  <si>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</si>
  <si>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</si>
  <si>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</si>
  <si>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</si>
  <si>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</si>
  <si>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</si>
  <si>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</si>
  <si>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</si>
  <si>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</si>
  <si>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</si>
  <si>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</si>
  <si>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</si>
  <si>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</si>
  <si>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</si>
  <si>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</si>
  <si>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</si>
  <si>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</si>
  <si>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</si>
  <si>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</si>
  <si>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</si>
  <si>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</si>
  <si>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</si>
  <si>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</si>
  <si>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</si>
  <si>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</si>
  <si>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</si>
  <si>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</si>
  <si>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</si>
  <si>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</si>
  <si>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</si>
  <si>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</si>
  <si>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</si>
  <si>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</si>
  <si>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</si>
  <si>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</si>
  <si>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</si>
  <si>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</si>
  <si>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</si>
  <si>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</si>
  <si>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</si>
  <si>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</si>
  <si>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</si>
  <si>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</si>
  <si>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</si>
  <si>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</si>
  <si>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</si>
  <si>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</si>
  <si>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</si>
  <si>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</si>
  <si>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</si>
  <si>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</si>
  <si>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</si>
  <si>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</si>
  <si>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</si>
  <si>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</si>
  <si>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</si>
  <si>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</si>
  <si>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</si>
  <si>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</si>
  <si>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</si>
  <si>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</si>
  <si>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</si>
  <si>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</si>
  <si>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</si>
  <si>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</si>
  <si>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</si>
  <si>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</si>
  <si>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</si>
  <si>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</si>
  <si>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</si>
  <si>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</si>
  <si>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</si>
  <si>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</si>
  <si>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</si>
  <si>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</si>
  <si>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</si>
  <si>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</si>
  <si>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</si>
  <si>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</si>
  <si>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</si>
  <si>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</si>
  <si>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</si>
  <si>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</si>
  <si>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</si>
  <si>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</si>
  <si>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</si>
  <si>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</si>
  <si>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</si>
  <si>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</si>
  <si>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</si>
  <si>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</si>
  <si>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</si>
  <si>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</si>
  <si>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</si>
  <si>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</si>
  <si>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</si>
  <si>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</si>
  <si>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</si>
  <si>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</si>
  <si>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</si>
  <si>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</si>
  <si>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</si>
  <si>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</si>
  <si>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</si>
  <si>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</si>
  <si>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</si>
  <si>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</si>
  <si>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</si>
  <si>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</si>
  <si>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</si>
  <si>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</si>
  <si>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</si>
  <si>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</si>
  <si>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</si>
  <si>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</si>
  <si>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</si>
  <si>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</si>
  <si>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</si>
  <si>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</si>
  <si>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</si>
  <si>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</si>
  <si>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</si>
  <si>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</si>
  <si>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</si>
  <si>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</si>
  <si>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</si>
  <si>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</si>
  <si>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</si>
  <si>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</si>
  <si>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</si>
  <si>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</si>
  <si>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</si>
  <si>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</si>
  <si>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</si>
  <si>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</si>
  <si>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</si>
  <si>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</si>
  <si>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</si>
  <si>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</si>
  <si>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</si>
  <si>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</si>
  <si>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</si>
  <si>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</si>
  <si>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</si>
  <si>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</si>
  <si>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</si>
  <si>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</si>
  <si>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</si>
  <si>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</si>
  <si>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</si>
  <si>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</si>
  <si>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</si>
  <si>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</si>
  <si>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</si>
  <si>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</si>
  <si>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</si>
  <si>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</si>
  <si>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</si>
  <si>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</si>
  <si>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</si>
  <si>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</si>
  <si>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</si>
  <si>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</si>
  <si>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</si>
  <si>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</si>
  <si>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</si>
  <si>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</si>
  <si>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</si>
  <si>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</si>
  <si>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</si>
  <si>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</si>
  <si>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</si>
  <si>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</si>
  <si>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</si>
  <si>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</si>
  <si>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</si>
  <si>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</si>
  <si>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</si>
  <si>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</si>
  <si>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</si>
  <si>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</si>
  <si>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</si>
  <si>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</si>
  <si>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</si>
  <si>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</si>
  <si>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</si>
  <si>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</si>
  <si>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</si>
  <si>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</si>
  <si>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</si>
  <si>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</si>
  <si>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</si>
  <si>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</si>
  <si>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</si>
  <si>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</si>
  <si>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</si>
  <si>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</si>
  <si>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</si>
  <si>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</si>
  <si>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</si>
  <si>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</si>
  <si>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</si>
  <si>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</si>
  <si>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</si>
  <si>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</si>
  <si>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</si>
  <si>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</si>
  <si>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</si>
  <si>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</si>
  <si>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</si>
  <si>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</si>
  <si>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</si>
  <si>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</si>
  <si>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</si>
  <si>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</si>
  <si>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</si>
  <si>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</si>
  <si>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</si>
  <si>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</si>
  <si>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</si>
  <si>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</si>
  <si>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</si>
  <si>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</si>
  <si>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</si>
  <si>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</si>
  <si>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</si>
  <si>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</si>
  <si>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</si>
  <si>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</si>
  <si>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</si>
  <si>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</si>
  <si>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</si>
  <si>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</si>
  <si>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</si>
  <si>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</si>
  <si>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</si>
  <si>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</si>
  <si>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</si>
  <si>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</si>
  <si>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</si>
  <si>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</si>
  <si>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</si>
  <si>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</si>
  <si>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</si>
  <si>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</si>
  <si>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</si>
  <si>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</si>
  <si>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</si>
  <si>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</si>
  <si>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</si>
  <si>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</si>
  <si>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</si>
  <si>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</si>
  <si>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</si>
  <si>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</si>
  <si>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</si>
  <si>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</si>
  <si>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</si>
  <si>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</si>
  <si>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</si>
  <si>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</si>
  <si>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</si>
  <si>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</si>
  <si>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</si>
  <si>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</si>
  <si>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</si>
  <si>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</si>
  <si>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</si>
  <si>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</si>
  <si>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</si>
  <si>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</si>
  <si>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</si>
  <si>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</si>
  <si>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</si>
  <si>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</si>
  <si>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</si>
  <si>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</si>
  <si>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</si>
  <si>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</si>
  <si>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</si>
  <si>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</si>
  <si>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</si>
  <si>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</si>
  <si>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</si>
  <si>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</si>
  <si>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</si>
  <si>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</si>
  <si>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</si>
  <si>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</si>
  <si>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</si>
  <si>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</si>
  <si>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</si>
  <si>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</si>
  <si>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</si>
  <si>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</si>
  <si>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</si>
  <si>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</si>
  <si>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</si>
  <si>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</si>
  <si>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</si>
  <si>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</si>
  <si>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</si>
  <si>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</si>
  <si>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</si>
  <si>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</si>
  <si>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</si>
  <si>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</si>
  <si>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</si>
  <si>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</si>
  <si>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</si>
  <si>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</si>
  <si>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</si>
  <si>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</si>
  <si>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</si>
  <si>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</si>
  <si>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</si>
  <si>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</si>
  <si>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</si>
  <si>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</si>
  <si>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</si>
  <si>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</si>
  <si>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</si>
  <si>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</si>
  <si>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</si>
  <si>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</si>
  <si>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</si>
  <si>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</si>
  <si>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</si>
  <si>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</si>
  <si>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</si>
  <si>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</si>
  <si>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</si>
  <si>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</si>
  <si>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</si>
  <si>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</si>
  <si>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</si>
  <si>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</si>
  <si>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</si>
  <si>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</si>
  <si>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</si>
  <si>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</si>
  <si>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</si>
  <si>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</si>
  <si>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</si>
  <si>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</si>
  <si>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</si>
  <si>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</si>
  <si>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</si>
  <si>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</si>
  <si>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</si>
  <si>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</si>
  <si>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</si>
  <si>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</si>
  <si>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</si>
  <si>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</si>
  <si>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</si>
  <si>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</si>
  <si>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</si>
  <si>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</si>
  <si>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</si>
  <si>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</si>
  <si>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</si>
  <si>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</si>
  <si>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</si>
  <si>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</si>
  <si>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</si>
  <si>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</si>
  <si>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</si>
  <si>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</si>
  <si>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</si>
  <si>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</si>
  <si>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</si>
  <si>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</si>
  <si>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</si>
  <si>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</si>
  <si>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</si>
  <si>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</si>
  <si>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</si>
  <si>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</si>
  <si>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</si>
  <si>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</si>
  <si>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</si>
  <si>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</si>
  <si>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</si>
  <si>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</si>
  <si>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</si>
  <si>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</si>
  <si>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</si>
  <si>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</si>
  <si>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</si>
  <si>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</si>
  <si>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</si>
  <si>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</si>
  <si>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</si>
  <si>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</si>
  <si>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</si>
  <si>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</si>
  <si>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</si>
  <si>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</si>
  <si>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</si>
  <si>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</si>
  <si>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</si>
  <si>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</si>
  <si>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</si>
  <si>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</si>
  <si>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</si>
  <si>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</si>
  <si>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</si>
  <si>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</si>
  <si>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</si>
  <si>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</si>
  <si>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</si>
  <si>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</si>
  <si>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</si>
  <si>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</si>
  <si>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</si>
  <si>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</si>
  <si>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</si>
  <si>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</si>
  <si>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</si>
  <si>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</si>
  <si>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</si>
  <si>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</si>
  <si>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</si>
  <si>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</si>
  <si>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</si>
  <si>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</si>
  <si>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</si>
  <si>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</si>
  <si>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</si>
  <si>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</si>
  <si>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</si>
  <si>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</si>
  <si>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</si>
  <si>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</si>
  <si>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</si>
  <si>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</si>
  <si>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</si>
  <si>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</si>
  <si>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</si>
  <si>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</si>
  <si>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</si>
  <si>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</si>
  <si>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</si>
  <si>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</si>
  <si>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</si>
  <si>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</si>
  <si>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</si>
  <si>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</si>
  <si>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</si>
  <si>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</si>
  <si>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</si>
  <si>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</si>
  <si>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</si>
  <si>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</si>
  <si>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</si>
  <si>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</si>
  <si>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</si>
  <si>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</si>
  <si>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</si>
  <si>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</si>
  <si>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</si>
  <si>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</si>
  <si>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</si>
  <si>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</si>
  <si>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</si>
  <si>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</si>
  <si>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</si>
  <si>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</si>
  <si>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</si>
  <si>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</si>
  <si>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</si>
  <si>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</si>
  <si>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</si>
  <si>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</si>
  <si>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</si>
  <si>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</si>
  <si>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</si>
  <si>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</si>
  <si>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</si>
  <si>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</si>
  <si>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</si>
  <si>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</si>
  <si>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</si>
  <si>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</si>
  <si>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</si>
  <si>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</si>
  <si>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</si>
  <si>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</si>
  <si>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</si>
  <si>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</si>
  <si>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</si>
  <si>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</si>
  <si>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</si>
  <si>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</si>
  <si>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</si>
  <si>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</si>
  <si>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</si>
  <si>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</si>
  <si>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</si>
  <si>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</si>
  <si>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</si>
  <si>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</si>
  <si>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</si>
  <si>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</si>
  <si>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</si>
  <si>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</si>
  <si>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</si>
  <si>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</si>
  <si>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</si>
  <si>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</si>
  <si>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</si>
  <si>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</si>
  <si>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</si>
  <si>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</si>
  <si>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</si>
  <si>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</si>
  <si>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</si>
  <si>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</si>
  <si>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</si>
  <si>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</si>
  <si>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</si>
  <si>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</si>
  <si>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</si>
  <si>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</si>
  <si>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</si>
  <si>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</si>
  <si>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</si>
  <si>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</si>
  <si>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</si>
  <si>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</si>
  <si>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</si>
  <si>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</si>
  <si>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</si>
  <si>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</si>
  <si>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</si>
  <si>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</si>
  <si>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</si>
  <si>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</si>
  <si>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</si>
  <si>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</si>
  <si>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</si>
  <si>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</si>
  <si>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</si>
  <si>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</si>
  <si>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</si>
  <si>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</si>
  <si>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</si>
  <si>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</si>
  <si>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</si>
  <si>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</si>
  <si>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</si>
  <si>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</si>
  <si>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</si>
  <si>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</si>
  <si>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</si>
  <si>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</si>
  <si>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</si>
  <si>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</si>
  <si>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</si>
  <si>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</si>
  <si>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</si>
  <si>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</si>
  <si>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</si>
  <si>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</si>
  <si>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</si>
  <si>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</si>
  <si>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</si>
  <si>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</si>
  <si>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</si>
  <si>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</si>
  <si>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</si>
  <si>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</si>
  <si>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</si>
  <si>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</si>
  <si>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</si>
  <si>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</si>
  <si>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</si>
  <si>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</si>
  <si>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</si>
  <si>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</si>
  <si>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</si>
  <si>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</si>
  <si>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</si>
  <si>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</si>
  <si>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</si>
  <si>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</si>
  <si>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</si>
  <si>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</si>
  <si>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</si>
  <si>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</si>
  <si>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</si>
  <si>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</si>
  <si>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</si>
  <si>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</si>
  <si>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</si>
  <si>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</si>
  <si>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</si>
  <si>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</si>
  <si>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</si>
  <si>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</si>
  <si>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</si>
  <si>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</si>
  <si>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</si>
  <si>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</si>
  <si>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</si>
  <si>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</si>
  <si>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</si>
  <si>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</si>
  <si>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</si>
  <si>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</si>
  <si>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</si>
  <si>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</si>
  <si>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</si>
  <si>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</si>
  <si>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</si>
  <si>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</si>
  <si>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</si>
  <si>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</si>
  <si>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</si>
  <si>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</si>
  <si>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</si>
  <si>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</si>
  <si>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</si>
  <si>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</si>
  <si>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</si>
  <si>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</si>
  <si>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</si>
  <si>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</si>
  <si>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</si>
  <si>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</si>
  <si>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</si>
  <si>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</si>
  <si>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</si>
  <si>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</si>
  <si>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</si>
  <si>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</si>
  <si>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</si>
  <si>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</si>
  <si>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</si>
  <si>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</si>
  <si>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</si>
  <si>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</si>
  <si>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</si>
  <si>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</si>
  <si>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</si>
  <si>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</si>
  <si>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</si>
  <si>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</si>
  <si>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</si>
  <si>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</si>
  <si>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</si>
  <si>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</si>
  <si>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</si>
  <si>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</si>
  <si>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</si>
  <si>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</si>
  <si>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</si>
  <si>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</si>
  <si>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</si>
  <si>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</si>
  <si>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</si>
  <si>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</si>
  <si>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</si>
  <si>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</si>
  <si>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</si>
  <si>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</si>
  <si>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</si>
  <si>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</si>
  <si>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</si>
  <si>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</si>
  <si>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</si>
  <si>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</si>
  <si>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</si>
  <si>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</si>
  <si>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</si>
  <si>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</si>
  <si>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</si>
  <si>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</si>
  <si>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</si>
  <si>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</si>
  <si>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</si>
  <si>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</si>
  <si>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</si>
  <si>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</si>
  <si>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</si>
  <si>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</si>
  <si>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</si>
  <si>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</si>
  <si>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</si>
  <si>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</si>
  <si>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</si>
  <si>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</si>
  <si>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</si>
  <si>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</si>
  <si>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</si>
  <si>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</si>
  <si>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</si>
  <si>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</si>
  <si>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</si>
  <si>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</si>
  <si>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</si>
  <si>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</si>
  <si>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</si>
  <si>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+14</t>
  </si>
  <si>
    <t>-2</t>
  </si>
  <si>
    <t>+2</t>
  </si>
  <si>
    <t>-1</t>
  </si>
  <si>
    <t>+10</t>
  </si>
  <si>
    <t>-7</t>
  </si>
  <si>
    <t>-10</t>
  </si>
  <si>
    <t>+8</t>
  </si>
  <si>
    <t>+1</t>
  </si>
  <si>
    <t>+3</t>
  </si>
  <si>
    <t>-4</t>
  </si>
  <si>
    <t>-3</t>
  </si>
  <si>
    <t>-11</t>
  </si>
  <si>
    <t>+4</t>
  </si>
  <si>
    <t>+11</t>
  </si>
  <si>
    <t>-5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</si>
  <si>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</si>
  <si>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</si>
  <si>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</si>
  <si>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</si>
  <si>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</si>
  <si>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</si>
  <si>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</si>
  <si>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</si>
  <si>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</si>
  <si>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</si>
  <si>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</si>
  <si>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</si>
  <si>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</si>
  <si>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</si>
  <si>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</si>
  <si>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</si>
  <si>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</si>
  <si>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</si>
  <si>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</si>
  <si>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</si>
  <si>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</si>
  <si>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</si>
  <si>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</si>
  <si>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</si>
  <si>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</si>
  <si>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</si>
  <si>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</si>
  <si>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</si>
  <si>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</si>
  <si>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</si>
  <si>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</si>
  <si>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</si>
  <si>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</si>
  <si>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</si>
  <si>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</si>
  <si>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</si>
  <si>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</si>
  <si>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</si>
  <si>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065 Region Pays de la Loire Tour (2.1)</t>
  </si>
  <si>
    <t>066 Scheldeprijs (1.Pro)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</si>
  <si>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</si>
  <si>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</si>
  <si>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</si>
  <si>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</si>
  <si>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</si>
  <si>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</si>
  <si>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</si>
  <si>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</si>
  <si>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</si>
  <si>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</si>
  <si>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</si>
  <si>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</si>
  <si>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</si>
  <si>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</si>
  <si>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</si>
  <si>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</si>
  <si>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</si>
  <si>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</si>
  <si>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</si>
  <si>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</si>
  <si>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</si>
  <si>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</si>
  <si>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</si>
  <si>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-9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</si>
  <si>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</si>
  <si>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</si>
  <si>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</si>
  <si>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</si>
  <si>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</si>
  <si>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</si>
  <si>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</si>
  <si>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+16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</si>
  <si>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</si>
  <si>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</si>
  <si>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</si>
  <si>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</si>
  <si>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</si>
  <si>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</si>
  <si>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</si>
  <si>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</si>
  <si>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</si>
  <si>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</si>
  <si>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</si>
  <si>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</si>
  <si>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</si>
  <si>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</si>
  <si>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</si>
  <si>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</si>
  <si>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</si>
  <si>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</si>
  <si>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</si>
  <si>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</si>
  <si>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</si>
  <si>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</si>
  <si>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</si>
  <si>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</si>
  <si>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</si>
  <si>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</si>
  <si>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</si>
  <si>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</si>
  <si>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</si>
  <si>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</si>
  <si>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</si>
  <si>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</si>
  <si>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</si>
  <si>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</si>
  <si>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</si>
  <si>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</si>
  <si>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</si>
  <si>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</si>
  <si>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</si>
  <si>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</si>
  <si>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</si>
  <si>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</si>
  <si>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</si>
  <si>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</si>
  <si>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</si>
  <si>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</si>
  <si>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</si>
  <si>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</si>
  <si>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</si>
  <si>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+5</t>
  </si>
  <si>
    <t>+9</t>
  </si>
  <si>
    <t>-16</t>
  </si>
  <si>
    <t>-17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</si>
  <si>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</si>
  <si>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</si>
  <si>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</si>
  <si>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</si>
  <si>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</si>
  <si>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</si>
  <si>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</si>
  <si>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</si>
  <si>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</si>
  <si>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</si>
  <si>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</si>
  <si>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</si>
  <si>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</si>
  <si>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</si>
  <si>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</si>
  <si>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</si>
  <si>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</si>
  <si>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</si>
  <si>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</si>
  <si>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</si>
  <si>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</si>
  <si>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</si>
  <si>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</si>
  <si>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</si>
  <si>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</si>
  <si>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</si>
  <si>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</si>
  <si>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</si>
  <si>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</si>
  <si>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</si>
  <si>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-8</t>
  </si>
  <si>
    <t>+15</t>
  </si>
  <si>
    <t>+17</t>
  </si>
  <si>
    <t>UCI punten per 27/03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</si>
  <si>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</si>
  <si>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</si>
  <si>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</si>
  <si>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</si>
  <si>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</si>
  <si>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</si>
  <si>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</si>
  <si>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</si>
  <si>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</si>
  <si>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</si>
  <si>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</si>
  <si>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</si>
  <si>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</si>
  <si>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</si>
  <si>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</si>
  <si>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</si>
  <si>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</si>
  <si>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</si>
  <si>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</si>
  <si>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</si>
  <si>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</si>
  <si>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</si>
  <si>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</si>
  <si>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</si>
  <si>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</si>
  <si>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</si>
  <si>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</si>
  <si>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Algemeen Klassement na Ronde van Vlaanderen (1.WT)</t>
  </si>
  <si>
    <t>Uitslag Ronde van Vlaanderen (1.WT)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</si>
  <si>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</si>
  <si>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</si>
  <si>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</si>
  <si>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</si>
  <si>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</si>
  <si>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</si>
  <si>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</si>
  <si>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</si>
  <si>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</si>
  <si>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</si>
  <si>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</si>
  <si>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</si>
  <si>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</si>
  <si>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</si>
  <si>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</si>
  <si>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</si>
  <si>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</si>
  <si>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</si>
  <si>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</si>
  <si>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-6</t>
  </si>
  <si>
    <t>+19</t>
  </si>
  <si>
    <t>-14</t>
  </si>
  <si>
    <t>+25</t>
  </si>
  <si>
    <t>-12</t>
  </si>
  <si>
    <t>+31</t>
  </si>
  <si>
    <t>-13</t>
  </si>
  <si>
    <t>+18</t>
  </si>
  <si>
    <t>UCI punten per 03/04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</si>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</sst>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8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20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1" fillId="0" borderId="0" xfId="0" applyFont="1"/>
    <xf numFmtId="4" fontId="0" fillId="0" borderId="0" xfId="0" applyNumberFormat="1" applyFont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attias-skjelmose-jensen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brady-gilmore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rafael-lourenco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matteo-jorgenso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nathan-vandepitte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wout-van-aert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giulio-pellizzari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kiya-rogora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caleb-ewan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tiesj-benoot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jonas-vingegaard-rasmussen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ed-doghmy-achraf" TargetMode="External"/><Relationship Id="rId1169" Type="http://schemas.openxmlformats.org/officeDocument/2006/relationships/hyperlink" Target="https://www.procyclingstats.com/rider/davide-ballerini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joseph-blackmore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filippo-colombo1" TargetMode="External"/><Relationship Id="rId1107" Type="http://schemas.openxmlformats.org/officeDocument/2006/relationships/hyperlink" Target="https://www.procyclingstats.com/rider/giacomo-ballabio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brandon-mcnulty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jordan-villani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frederik-frison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michael-matthew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liam-walsh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simon-yates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louis-bendixen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arius-mayrhofer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jonas-rutsch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remco-evenepoel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martijn-budding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mathieu-van-der-poel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tefan-kung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jordi-lopez-caravaca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marco-murgano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nicolas-debeaumarche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charles-kagimu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magnus-sheffield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marc-oliver-pritzen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mikel-landa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olav-kooij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yacine-hamza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juan-sebastian-molano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callum-ormiston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maikel-zijlaard" TargetMode="External"/><Relationship Id="rId1106" Type="http://schemas.openxmlformats.org/officeDocument/2006/relationships/hyperlink" Target="https://www.procyclingstats.com/rider/enrico-zanoncell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hugo-toumire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sep-vanmarcke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rnaud-de-lie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hugo-pag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neilson-powless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jeroen-meijers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antonio-tiberi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lukas-nerurkar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luke-plapp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sean-flynn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tao-geoghegan-hart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nils-polit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roy-eefting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didier-merchan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hamish-mckenzi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uro-schmid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lucas-eriksso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tadej-pogaca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adam-de-vo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matej-mohoric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jasper-philips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thomas-bonnet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javier-serrano" TargetMode="External"/><Relationship Id="rId1105" Type="http://schemas.openxmlformats.org/officeDocument/2006/relationships/hyperlink" Target="https://www.procyclingstats.com/rider/tijl-de-decker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jetse-bol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pello-bilbao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simon-clark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149" Type="http://schemas.openxmlformats.org/officeDocument/2006/relationships/hyperlink" Target="https://www.procyclingstats.com/rider/christophe-laporte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david-dekker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rui-cost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francesco-gavazzi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tim-merlier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drew-morey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wesley-kreder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primoz-roglic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corbin-strong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sergio-meris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hoonmin-ju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declan-trezis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giulio-ciccone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tsgabu-gebremaryam-grmay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alexander-kristoff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per-strand-hagene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valentin-madouas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felix-engelhardt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mads-peder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printerSettings" Target="../printerSettings/printerSettings1.bin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davide-bais" TargetMode="External"/><Relationship Id="rId1104" Type="http://schemas.openxmlformats.org/officeDocument/2006/relationships/hyperlink" Target="https://www.procyclingstats.com/rider/jack-aitken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onas-rickaert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abram-stockm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jay-vin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dylan-van-baarle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159" Type="http://schemas.openxmlformats.org/officeDocument/2006/relationships/hyperlink" Target="https://www.procyclingstats.com/rider/david-gaudu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youssef-bdadou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peter-kusztor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thomas-pidcock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thomas-gachignard" TargetMode="External"/><Relationship Id="rId1108" Type="http://schemas.openxmlformats.org/officeDocument/2006/relationships/hyperlink" Target="https://www.procyclingstats.com/rider/stefan-kovar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joao-almeida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riley-fleming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camilo-andres-gomez-gomez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filippo-ganna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edward-planckaert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adam-yates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athan-van-hooydonck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benjamin-prades-reverter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timo-de-jo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08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5070</v>
      </c>
      <c r="G1" s="129"/>
      <c r="J1"/>
      <c r="K1" s="215" t="s">
        <v>5071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2004</v>
      </c>
      <c r="F2" s="27"/>
      <c r="G2" s="17" t="s">
        <v>40</v>
      </c>
      <c r="H2" s="266" t="s">
        <v>1696</v>
      </c>
      <c r="J2" s="208"/>
      <c r="K2" s="459" t="s">
        <v>4541</v>
      </c>
      <c r="L2" s="101"/>
      <c r="M2" s="207" t="s">
        <v>1617</v>
      </c>
      <c r="N2" s="27" t="s">
        <v>2004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2012</v>
      </c>
      <c r="D3" s="87" t="s">
        <v>1481</v>
      </c>
      <c r="E3" s="338" t="s">
        <v>4091</v>
      </c>
      <c r="G3" s="67">
        <f>$RY$672</f>
        <v>8933.4000000000033</v>
      </c>
      <c r="H3" s="300" t="s">
        <v>4867</v>
      </c>
      <c r="I3" s="219"/>
      <c r="J3" s="332" t="s">
        <v>0</v>
      </c>
      <c r="K3" s="63" t="s">
        <v>3391</v>
      </c>
      <c r="M3" s="270" t="s">
        <v>4059</v>
      </c>
      <c r="N3" s="338" t="s">
        <v>4109</v>
      </c>
      <c r="P3" s="67">
        <f>$ANT$672-7075.9</f>
        <v>806.50000000000091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800</v>
      </c>
      <c r="D4" s="87" t="s">
        <v>1456</v>
      </c>
      <c r="E4" s="338" t="s">
        <v>4071</v>
      </c>
      <c r="G4" s="67">
        <f>$AQ$672</f>
        <v>8789.8000000000011</v>
      </c>
      <c r="H4" s="300" t="s">
        <v>4877</v>
      </c>
      <c r="I4" s="219"/>
      <c r="J4" s="332" t="s">
        <v>2</v>
      </c>
      <c r="K4" s="219" t="s">
        <v>1653</v>
      </c>
      <c r="M4" s="289" t="s">
        <v>1465</v>
      </c>
      <c r="N4" s="338" t="s">
        <v>4085</v>
      </c>
      <c r="P4" s="67">
        <f>$MK$672-7822.6</f>
        <v>761.30000000000291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78" t="s">
        <v>2010</v>
      </c>
      <c r="D5" s="87" t="s">
        <v>1482</v>
      </c>
      <c r="E5" s="338" t="s">
        <v>4080</v>
      </c>
      <c r="G5" s="67">
        <f>$SH$672</f>
        <v>8663.9000000000015</v>
      </c>
      <c r="H5" s="300" t="s">
        <v>4876</v>
      </c>
      <c r="I5" s="28"/>
      <c r="J5" s="332" t="s">
        <v>3</v>
      </c>
      <c r="K5" s="63" t="s">
        <v>3389</v>
      </c>
      <c r="M5" s="270" t="s">
        <v>4056</v>
      </c>
      <c r="N5" s="338" t="s">
        <v>4108</v>
      </c>
      <c r="P5" s="67">
        <f>$AMS$672-6685.5</f>
        <v>745.90000000000055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28" t="s">
        <v>37</v>
      </c>
      <c r="D6" s="87" t="s">
        <v>1416</v>
      </c>
      <c r="E6" s="338" t="s">
        <v>4076</v>
      </c>
      <c r="G6" s="67">
        <f>$DB$672</f>
        <v>8613.9000000000015</v>
      </c>
      <c r="H6" s="300" t="s">
        <v>4869</v>
      </c>
      <c r="I6" s="219"/>
      <c r="J6" s="332" t="s">
        <v>5</v>
      </c>
      <c r="K6" s="63" t="s">
        <v>3407</v>
      </c>
      <c r="M6" s="270" t="s">
        <v>4058</v>
      </c>
      <c r="N6" s="338" t="s">
        <v>4104</v>
      </c>
      <c r="P6" s="67">
        <f>$ANK$672-7001.8</f>
        <v>734.55000000000018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19" t="s">
        <v>1653</v>
      </c>
      <c r="D7" s="87" t="s">
        <v>1465</v>
      </c>
      <c r="E7" s="338" t="s">
        <v>4085</v>
      </c>
      <c r="G7" s="67">
        <f>$MK$672</f>
        <v>8583.9000000000033</v>
      </c>
      <c r="H7" s="300" t="s">
        <v>4868</v>
      </c>
      <c r="J7" s="332" t="s">
        <v>7</v>
      </c>
      <c r="K7" s="278" t="s">
        <v>2022</v>
      </c>
      <c r="M7" s="289" t="s">
        <v>1483</v>
      </c>
      <c r="N7" s="338" t="s">
        <v>4087</v>
      </c>
      <c r="P7" s="67">
        <f>$SQ$672-7209.6</f>
        <v>720.20000000000073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746</v>
      </c>
      <c r="D8" s="87" t="s">
        <v>1424</v>
      </c>
      <c r="E8" s="338" t="s">
        <v>4079</v>
      </c>
      <c r="G8" s="67">
        <f>$FV$672</f>
        <v>8577.3000000000011</v>
      </c>
      <c r="H8" s="300" t="s">
        <v>4876</v>
      </c>
      <c r="J8" s="332" t="s">
        <v>8</v>
      </c>
      <c r="K8" s="63" t="s">
        <v>3382</v>
      </c>
      <c r="M8" s="270" t="s">
        <v>4049</v>
      </c>
      <c r="N8" s="338" t="s">
        <v>4107</v>
      </c>
      <c r="P8" s="67">
        <f>$AKH$672-7312.7</f>
        <v>717.79999999999927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63" t="s">
        <v>3393</v>
      </c>
      <c r="D9" s="270" t="s">
        <v>4061</v>
      </c>
      <c r="E9" s="338" t="s">
        <v>4109</v>
      </c>
      <c r="G9" s="67">
        <f>$AOL$672</f>
        <v>8552.5000000000036</v>
      </c>
      <c r="H9" s="300" t="s">
        <v>4876</v>
      </c>
      <c r="I9" s="278"/>
      <c r="J9" s="332" t="s">
        <v>10</v>
      </c>
      <c r="K9" s="278" t="s">
        <v>2027</v>
      </c>
      <c r="M9" s="289" t="s">
        <v>1867</v>
      </c>
      <c r="N9" s="338" t="s">
        <v>4102</v>
      </c>
      <c r="P9" s="67">
        <f>$YE$672-7624.6</f>
        <v>685.30000000000109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63" t="s">
        <v>3394</v>
      </c>
      <c r="D10" s="270" t="s">
        <v>4062</v>
      </c>
      <c r="E10" s="338" t="s">
        <v>4106</v>
      </c>
      <c r="G10" s="67">
        <f>$AOU$672</f>
        <v>8482.1</v>
      </c>
      <c r="H10" s="300" t="s">
        <v>4869</v>
      </c>
      <c r="I10" s="219"/>
      <c r="J10" s="332" t="s">
        <v>12</v>
      </c>
      <c r="K10" s="278" t="s">
        <v>2012</v>
      </c>
      <c r="M10" s="289" t="s">
        <v>1481</v>
      </c>
      <c r="N10" s="338" t="s">
        <v>4091</v>
      </c>
      <c r="P10" s="67">
        <f>$RY$672-8263.5</f>
        <v>669.90000000000327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4084</v>
      </c>
      <c r="G11" s="67">
        <f>$LS$672</f>
        <v>8455.4</v>
      </c>
      <c r="H11" s="300" t="s">
        <v>5091</v>
      </c>
      <c r="I11" s="219"/>
      <c r="J11" s="332" t="s">
        <v>14</v>
      </c>
      <c r="K11" s="63" t="s">
        <v>757</v>
      </c>
      <c r="M11" s="289" t="s">
        <v>1461</v>
      </c>
      <c r="N11" s="338" t="s">
        <v>4084</v>
      </c>
      <c r="P11" s="67">
        <f>$LA$672-7755</f>
        <v>665.90000000000146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757</v>
      </c>
      <c r="D12" s="87" t="s">
        <v>1461</v>
      </c>
      <c r="E12" s="338" t="s">
        <v>4084</v>
      </c>
      <c r="G12" s="67">
        <f>$LA$672</f>
        <v>8420.9000000000015</v>
      </c>
      <c r="H12" s="300" t="s">
        <v>5092</v>
      </c>
      <c r="J12" s="332" t="s">
        <v>16</v>
      </c>
      <c r="K12" s="63" t="s">
        <v>3390</v>
      </c>
      <c r="M12" s="270" t="s">
        <v>4057</v>
      </c>
      <c r="N12" s="338" t="s">
        <v>4104</v>
      </c>
      <c r="P12" s="67">
        <f>$ANB$672-7737.2</f>
        <v>645.19999999999982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3390</v>
      </c>
      <c r="D13" s="270" t="s">
        <v>4057</v>
      </c>
      <c r="E13" s="338" t="s">
        <v>4104</v>
      </c>
      <c r="G13" s="67">
        <f>$ANB$672</f>
        <v>8382.4</v>
      </c>
      <c r="H13" s="300" t="s">
        <v>4882</v>
      </c>
      <c r="I13" s="219"/>
      <c r="J13" s="332" t="s">
        <v>18</v>
      </c>
      <c r="K13" s="63" t="s">
        <v>734</v>
      </c>
      <c r="M13" s="289" t="s">
        <v>1462</v>
      </c>
      <c r="N13" s="338" t="s">
        <v>4088</v>
      </c>
      <c r="P13" s="67">
        <f>$LJ$672-6734.1</f>
        <v>630.00000000000182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8" t="s">
        <v>2351</v>
      </c>
      <c r="D14" s="87" t="s">
        <v>1459</v>
      </c>
      <c r="E14" s="338" t="s">
        <v>4075</v>
      </c>
      <c r="G14" s="67">
        <f>$BR$672</f>
        <v>8315.8000000000029</v>
      </c>
      <c r="H14" s="300" t="s">
        <v>4879</v>
      </c>
      <c r="I14" s="28"/>
      <c r="J14" s="332" t="s">
        <v>20</v>
      </c>
      <c r="K14" s="63" t="s">
        <v>153</v>
      </c>
      <c r="M14" s="289" t="s">
        <v>1441</v>
      </c>
      <c r="N14" s="338" t="s">
        <v>4083</v>
      </c>
      <c r="P14" s="67">
        <f>$JZ$672-7225.2</f>
        <v>615.49999999999909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63" t="s">
        <v>3383</v>
      </c>
      <c r="D15" s="270" t="s">
        <v>4050</v>
      </c>
      <c r="E15" s="338" t="s">
        <v>4104</v>
      </c>
      <c r="G15" s="67">
        <f>$AKQ$672</f>
        <v>8313.6999999999989</v>
      </c>
      <c r="H15" s="300" t="s">
        <v>4875</v>
      </c>
      <c r="J15" s="332" t="s">
        <v>22</v>
      </c>
      <c r="K15" s="63" t="s">
        <v>3380</v>
      </c>
      <c r="M15" s="270" t="s">
        <v>4047</v>
      </c>
      <c r="N15" s="338" t="s">
        <v>4104</v>
      </c>
      <c r="P15" s="67">
        <f>$AJP$672-7288.6</f>
        <v>613.85000000000127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78" t="s">
        <v>2027</v>
      </c>
      <c r="D16" s="87" t="s">
        <v>1867</v>
      </c>
      <c r="E16" s="338" t="s">
        <v>4102</v>
      </c>
      <c r="G16" s="67">
        <f>$YE$672</f>
        <v>8309.9000000000015</v>
      </c>
      <c r="H16" s="300" t="s">
        <v>4871</v>
      </c>
      <c r="I16" s="278"/>
      <c r="J16" s="332" t="s">
        <v>24</v>
      </c>
      <c r="K16" s="278" t="s">
        <v>2028</v>
      </c>
      <c r="M16" s="289" t="s">
        <v>2403</v>
      </c>
      <c r="N16" s="338" t="s">
        <v>4103</v>
      </c>
      <c r="P16" s="67">
        <f>$AAP$672-5929</f>
        <v>613.79999999999836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78" t="s">
        <v>2029</v>
      </c>
      <c r="D17" s="87" t="s">
        <v>1871</v>
      </c>
      <c r="E17" s="338" t="s">
        <v>4107</v>
      </c>
      <c r="G17" s="67">
        <f>$ZO$672</f>
        <v>8295.2000000000007</v>
      </c>
      <c r="H17" s="300" t="s">
        <v>4876</v>
      </c>
      <c r="I17" s="28"/>
      <c r="J17" s="332" t="s">
        <v>26</v>
      </c>
      <c r="K17" s="63" t="s">
        <v>3406</v>
      </c>
      <c r="M17" s="270" t="s">
        <v>4066</v>
      </c>
      <c r="N17" s="338" t="s">
        <v>4104</v>
      </c>
      <c r="P17" s="67">
        <f>$AQE$672-7387.5</f>
        <v>611.34999999999945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19" t="s">
        <v>1662</v>
      </c>
      <c r="D18" s="87" t="s">
        <v>1429</v>
      </c>
      <c r="E18" s="338" t="s">
        <v>4073</v>
      </c>
      <c r="G18" s="67">
        <f>$HO$672</f>
        <v>8255</v>
      </c>
      <c r="H18" s="300" t="s">
        <v>5091</v>
      </c>
      <c r="I18" s="278"/>
      <c r="J18" s="332" t="s">
        <v>28</v>
      </c>
      <c r="K18" s="63" t="s">
        <v>3377</v>
      </c>
      <c r="M18" s="270" t="s">
        <v>4044</v>
      </c>
      <c r="N18" s="338" t="s">
        <v>4107</v>
      </c>
      <c r="P18" s="67">
        <f>$AIO$672-6143.45</f>
        <v>600.10000000000127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78" t="s">
        <v>783</v>
      </c>
      <c r="D19" s="270" t="s">
        <v>1414</v>
      </c>
      <c r="E19" s="338" t="s">
        <v>4071</v>
      </c>
      <c r="G19" s="67">
        <f>$CJ$672</f>
        <v>8153.1000000000013</v>
      </c>
      <c r="H19" s="300" t="s">
        <v>4879</v>
      </c>
      <c r="J19" s="332" t="s">
        <v>30</v>
      </c>
      <c r="K19" s="278" t="s">
        <v>2029</v>
      </c>
      <c r="M19" s="289" t="s">
        <v>1871</v>
      </c>
      <c r="N19" s="338" t="s">
        <v>4107</v>
      </c>
      <c r="P19" s="67">
        <f>$ZO$672-7695.8</f>
        <v>599.40000000000055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19" t="s">
        <v>1659</v>
      </c>
      <c r="D20" s="87" t="s">
        <v>1473</v>
      </c>
      <c r="E20" s="338" t="s">
        <v>4095</v>
      </c>
      <c r="G20" s="67">
        <f>$PE$672</f>
        <v>8144.6</v>
      </c>
      <c r="H20" s="300" t="s">
        <v>5005</v>
      </c>
      <c r="J20" s="332" t="s">
        <v>32</v>
      </c>
      <c r="K20" s="219" t="s">
        <v>1656</v>
      </c>
      <c r="M20" s="288" t="s">
        <v>1477</v>
      </c>
      <c r="N20" s="338" t="s">
        <v>4095</v>
      </c>
      <c r="P20" s="67">
        <f>$QO$672-7476.3</f>
        <v>593.69999999999982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3221</v>
      </c>
      <c r="D21" s="87" t="s">
        <v>1452</v>
      </c>
      <c r="E21" s="338" t="s">
        <v>4068</v>
      </c>
      <c r="G21" s="67">
        <f>$G$672</f>
        <v>8131.8999999999978</v>
      </c>
      <c r="H21" s="300" t="s">
        <v>5039</v>
      </c>
      <c r="J21" s="332" t="s">
        <v>34</v>
      </c>
      <c r="K21" s="63" t="s">
        <v>3378</v>
      </c>
      <c r="M21" s="270" t="s">
        <v>4045</v>
      </c>
      <c r="N21" s="338" t="s">
        <v>4106</v>
      </c>
      <c r="P21" s="67">
        <f>$AIX$672-7259.7</f>
        <v>588.85000000000218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19" t="s">
        <v>1657</v>
      </c>
      <c r="D22" s="87" t="s">
        <v>1479</v>
      </c>
      <c r="E22" s="338" t="s">
        <v>4095</v>
      </c>
      <c r="G22" s="67">
        <f>$RG$672</f>
        <v>8127.05</v>
      </c>
      <c r="H22" s="300" t="s">
        <v>4881</v>
      </c>
      <c r="J22" s="332" t="s">
        <v>36</v>
      </c>
      <c r="K22" s="63" t="s">
        <v>3402</v>
      </c>
      <c r="M22" s="270" t="s">
        <v>4063</v>
      </c>
      <c r="N22" s="338" t="s">
        <v>4107</v>
      </c>
      <c r="P22" s="67">
        <f>$APD$672-7176.4</f>
        <v>581.49999999999909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162</v>
      </c>
      <c r="D23" s="87" t="s">
        <v>1432</v>
      </c>
      <c r="E23" s="338" t="s">
        <v>4081</v>
      </c>
      <c r="G23" s="67">
        <f>$IP$672</f>
        <v>8110.399999999996</v>
      </c>
      <c r="H23" s="300" t="s">
        <v>4866</v>
      </c>
      <c r="I23" s="278"/>
      <c r="J23" s="332" t="s">
        <v>38</v>
      </c>
      <c r="K23" s="63" t="s">
        <v>162</v>
      </c>
      <c r="M23" s="289" t="s">
        <v>1432</v>
      </c>
      <c r="N23" s="338" t="s">
        <v>4081</v>
      </c>
      <c r="P23" s="67">
        <f>$IP$672-7530.1</f>
        <v>580.29999999999563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142</v>
      </c>
      <c r="D24" s="87" t="s">
        <v>1418</v>
      </c>
      <c r="E24" s="338" t="s">
        <v>4070</v>
      </c>
      <c r="G24" s="67">
        <f>$DT$672</f>
        <v>8105.9</v>
      </c>
      <c r="H24" s="300" t="s">
        <v>4883</v>
      </c>
      <c r="I24" s="219"/>
      <c r="J24" s="332" t="s">
        <v>145</v>
      </c>
      <c r="K24" s="63" t="s">
        <v>3381</v>
      </c>
      <c r="M24" s="270" t="s">
        <v>4048</v>
      </c>
      <c r="N24" s="338" t="s">
        <v>4104</v>
      </c>
      <c r="P24" s="67">
        <f>$AJY$672-6597</f>
        <v>577.300000000002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19" t="s">
        <v>1656</v>
      </c>
      <c r="D25" s="270" t="s">
        <v>1477</v>
      </c>
      <c r="E25" s="338" t="s">
        <v>4095</v>
      </c>
      <c r="G25" s="67">
        <f>$QO$672</f>
        <v>8070</v>
      </c>
      <c r="H25" s="300" t="s">
        <v>5040</v>
      </c>
      <c r="J25" s="332" t="s">
        <v>146</v>
      </c>
      <c r="K25" s="63" t="s">
        <v>3383</v>
      </c>
      <c r="M25" s="270" t="s">
        <v>4050</v>
      </c>
      <c r="N25" s="338" t="s">
        <v>4104</v>
      </c>
      <c r="P25" s="67">
        <f>$AKQ$672-7737.7</f>
        <v>575.99999999999909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762</v>
      </c>
      <c r="D26" s="87" t="s">
        <v>1422</v>
      </c>
      <c r="E26" s="338" t="s">
        <v>4075</v>
      </c>
      <c r="G26" s="67">
        <f>$FD$672</f>
        <v>8044.3000000000011</v>
      </c>
      <c r="H26" s="300" t="s">
        <v>4878</v>
      </c>
      <c r="I26" s="278"/>
      <c r="J26" s="332" t="s">
        <v>147</v>
      </c>
      <c r="K26" s="63" t="s">
        <v>738</v>
      </c>
      <c r="M26" s="289" t="s">
        <v>1434</v>
      </c>
      <c r="N26" s="338" t="s">
        <v>4082</v>
      </c>
      <c r="P26" s="67">
        <f>$JH$672-7098.2</f>
        <v>574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78" t="s">
        <v>2031</v>
      </c>
      <c r="D27" s="87" t="s">
        <v>1870</v>
      </c>
      <c r="E27" s="338" t="s">
        <v>4098</v>
      </c>
      <c r="G27" s="67">
        <f>$ZF$672</f>
        <v>8041.5</v>
      </c>
      <c r="H27" s="300" t="s">
        <v>4867</v>
      </c>
      <c r="I27" s="278"/>
      <c r="J27" s="332" t="s">
        <v>151</v>
      </c>
      <c r="K27" s="63" t="s">
        <v>728</v>
      </c>
      <c r="M27" s="289" t="s">
        <v>1486</v>
      </c>
      <c r="N27" s="338" t="s">
        <v>4093</v>
      </c>
      <c r="P27" s="67">
        <f>$TR$672-6058.2</f>
        <v>573.69999999999891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63" t="s">
        <v>749</v>
      </c>
      <c r="D28" s="87" t="s">
        <v>1421</v>
      </c>
      <c r="E28" s="338" t="s">
        <v>4074</v>
      </c>
      <c r="G28" s="67">
        <f>$EU$672</f>
        <v>8036.6</v>
      </c>
      <c r="H28" s="300" t="s">
        <v>5093</v>
      </c>
      <c r="I28" s="278"/>
      <c r="J28" s="332" t="s">
        <v>157</v>
      </c>
      <c r="K28" s="63" t="s">
        <v>796</v>
      </c>
      <c r="M28" s="289" t="s">
        <v>1442</v>
      </c>
      <c r="N28" s="338" t="s">
        <v>4080</v>
      </c>
      <c r="P28" s="67">
        <f>$KI$672-7183.3</f>
        <v>568.5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3382</v>
      </c>
      <c r="D29" s="270" t="s">
        <v>4049</v>
      </c>
      <c r="E29" s="338" t="s">
        <v>4107</v>
      </c>
      <c r="G29" s="67">
        <f>$AKH$672</f>
        <v>8030.4999999999991</v>
      </c>
      <c r="H29" s="300" t="s">
        <v>4955</v>
      </c>
      <c r="I29" s="278"/>
      <c r="J29" s="332" t="s">
        <v>159</v>
      </c>
      <c r="K29" s="278" t="s">
        <v>13</v>
      </c>
      <c r="M29" s="288" t="s">
        <v>1469</v>
      </c>
      <c r="N29" s="338" t="s">
        <v>4092</v>
      </c>
      <c r="P29" s="67">
        <f>$NU$672-6240.5</f>
        <v>565.10000000000127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3406</v>
      </c>
      <c r="D30" s="270" t="s">
        <v>4066</v>
      </c>
      <c r="E30" s="338" t="s">
        <v>4104</v>
      </c>
      <c r="G30" s="67">
        <f>$AQE$672</f>
        <v>7998.8499999999995</v>
      </c>
      <c r="H30" s="300" t="s">
        <v>4877</v>
      </c>
      <c r="J30" s="332" t="s">
        <v>160</v>
      </c>
      <c r="K30" s="278" t="s">
        <v>800</v>
      </c>
      <c r="M30" s="289" t="s">
        <v>1456</v>
      </c>
      <c r="N30" s="338" t="s">
        <v>4071</v>
      </c>
      <c r="P30" s="67">
        <f>$AQ$672-8233.1</f>
        <v>556.70000000000073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78" t="s">
        <v>2022</v>
      </c>
      <c r="D31" s="87" t="s">
        <v>1483</v>
      </c>
      <c r="E31" s="338" t="s">
        <v>4087</v>
      </c>
      <c r="G31" s="67">
        <f>$SQ$672</f>
        <v>7929.8000000000011</v>
      </c>
      <c r="H31" s="300" t="s">
        <v>5094</v>
      </c>
      <c r="J31" s="332" t="s">
        <v>161</v>
      </c>
      <c r="K31" s="63" t="s">
        <v>3405</v>
      </c>
      <c r="M31" s="270" t="s">
        <v>4065</v>
      </c>
      <c r="N31" s="338" t="s">
        <v>4108</v>
      </c>
      <c r="P31" s="67">
        <f>$APV$672-7059.95</f>
        <v>556.30000000000291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78" t="s">
        <v>2352</v>
      </c>
      <c r="D32" s="270" t="s">
        <v>1454</v>
      </c>
      <c r="E32" s="338" t="s">
        <v>4069</v>
      </c>
      <c r="G32" s="67">
        <f>$Y$672</f>
        <v>7924.2999999999993</v>
      </c>
      <c r="H32" s="300" t="s">
        <v>5095</v>
      </c>
      <c r="J32" s="332" t="s">
        <v>163</v>
      </c>
      <c r="K32" s="63" t="s">
        <v>746</v>
      </c>
      <c r="M32" s="289" t="s">
        <v>1424</v>
      </c>
      <c r="N32" s="338" t="s">
        <v>4079</v>
      </c>
      <c r="P32" s="67">
        <f>$FV$672-8021.1</f>
        <v>556.20000000000073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63" t="s">
        <v>3380</v>
      </c>
      <c r="D33" s="270" t="s">
        <v>4047</v>
      </c>
      <c r="E33" s="338" t="s">
        <v>4104</v>
      </c>
      <c r="G33" s="67">
        <f>$AJP$672</f>
        <v>7902.4500000000016</v>
      </c>
      <c r="H33" s="300" t="s">
        <v>4875</v>
      </c>
      <c r="I33" s="219"/>
      <c r="J33" s="332" t="s">
        <v>275</v>
      </c>
      <c r="K33" s="63" t="s">
        <v>3403</v>
      </c>
      <c r="M33" s="270" t="s">
        <v>4064</v>
      </c>
      <c r="N33" s="338" t="s">
        <v>4105</v>
      </c>
      <c r="P33" s="67">
        <f>$APM$672-6757.6</f>
        <v>556.19999999999982</v>
      </c>
      <c r="Q33" s="350">
        <v>71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278" t="s">
        <v>154</v>
      </c>
      <c r="D34" s="87" t="s">
        <v>1453</v>
      </c>
      <c r="E34" s="338" t="s">
        <v>4068</v>
      </c>
      <c r="G34" s="67">
        <f>$P$672</f>
        <v>7896.9000000000015</v>
      </c>
      <c r="H34" s="300" t="s">
        <v>5008</v>
      </c>
      <c r="I34" s="278"/>
      <c r="J34" s="332" t="s">
        <v>276</v>
      </c>
      <c r="K34" s="63" t="s">
        <v>753</v>
      </c>
      <c r="M34" s="289" t="s">
        <v>1420</v>
      </c>
      <c r="N34" s="338" t="s">
        <v>4078</v>
      </c>
      <c r="P34" s="67">
        <f>$EL$672-6082.8</f>
        <v>553.80000000000018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63" t="s">
        <v>3391</v>
      </c>
      <c r="D35" s="270" t="s">
        <v>4059</v>
      </c>
      <c r="E35" s="338" t="s">
        <v>4109</v>
      </c>
      <c r="G35" s="67">
        <f>$ANT$672</f>
        <v>7882.4000000000005</v>
      </c>
      <c r="H35" s="300" t="s">
        <v>5096</v>
      </c>
      <c r="J35" s="332" t="s">
        <v>277</v>
      </c>
      <c r="K35" s="63" t="s">
        <v>748</v>
      </c>
      <c r="M35" s="289" t="s">
        <v>1426</v>
      </c>
      <c r="N35" s="338" t="s">
        <v>4073</v>
      </c>
      <c r="P35" s="67">
        <f>$GN$672-7117.4</f>
        <v>540.19999999999982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219" t="s">
        <v>1647</v>
      </c>
      <c r="D36" s="87" t="s">
        <v>1423</v>
      </c>
      <c r="E36" s="338" t="s">
        <v>4072</v>
      </c>
      <c r="G36" s="67">
        <f>$FM$672</f>
        <v>7880.1999999999989</v>
      </c>
      <c r="H36" s="300" t="s">
        <v>5039</v>
      </c>
      <c r="I36" s="278"/>
      <c r="J36" s="332" t="s">
        <v>278</v>
      </c>
      <c r="K36" s="278" t="s">
        <v>2054</v>
      </c>
      <c r="M36" s="289" t="s">
        <v>2402</v>
      </c>
      <c r="N36" s="338" t="s">
        <v>4110</v>
      </c>
      <c r="P36" s="67">
        <f>$AAG$672-5207.5</f>
        <v>535.30000000000018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3378</v>
      </c>
      <c r="D37" s="270" t="s">
        <v>4045</v>
      </c>
      <c r="E37" s="338" t="s">
        <v>4106</v>
      </c>
      <c r="G37" s="67">
        <f>$AIX$672</f>
        <v>7848.550000000002</v>
      </c>
      <c r="H37" s="300" t="s">
        <v>4867</v>
      </c>
      <c r="I37" s="278"/>
      <c r="J37" s="332" t="s">
        <v>735</v>
      </c>
      <c r="K37" s="63" t="s">
        <v>3387</v>
      </c>
      <c r="M37" s="270" t="s">
        <v>4054</v>
      </c>
      <c r="N37" s="338" t="s">
        <v>4104</v>
      </c>
      <c r="P37" s="67">
        <f>$AMA$672-6668.3</f>
        <v>531.05000000000018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153</v>
      </c>
      <c r="D38" s="87" t="s">
        <v>1441</v>
      </c>
      <c r="E38" s="338" t="s">
        <v>4083</v>
      </c>
      <c r="G38" s="67">
        <f>$JZ$672</f>
        <v>7840.6999999999989</v>
      </c>
      <c r="H38" s="300" t="s">
        <v>5006</v>
      </c>
      <c r="J38" s="332" t="s">
        <v>736</v>
      </c>
      <c r="K38" s="63" t="s">
        <v>180</v>
      </c>
      <c r="M38" s="270" t="s">
        <v>4060</v>
      </c>
      <c r="N38" s="338" t="s">
        <v>4105</v>
      </c>
      <c r="P38" s="67">
        <f>$AOC$672-6702</f>
        <v>525.19999999999982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278" t="s">
        <v>2354</v>
      </c>
      <c r="D39" s="87" t="s">
        <v>1460</v>
      </c>
      <c r="E39" s="338" t="s">
        <v>4070</v>
      </c>
      <c r="G39" s="67">
        <f>$CA$672</f>
        <v>7814.7000000000007</v>
      </c>
      <c r="H39" s="300" t="s">
        <v>4883</v>
      </c>
      <c r="I39" s="278"/>
      <c r="J39" s="332" t="s">
        <v>737</v>
      </c>
      <c r="K39" s="278" t="s">
        <v>11</v>
      </c>
      <c r="M39" s="289" t="s">
        <v>1460</v>
      </c>
      <c r="N39" s="338" t="s">
        <v>4070</v>
      </c>
      <c r="P39" s="67">
        <f>$CA$672-7290.6</f>
        <v>524.10000000000036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78" t="s">
        <v>2006</v>
      </c>
      <c r="D40" s="87" t="s">
        <v>1485</v>
      </c>
      <c r="E40" s="338" t="s">
        <v>4098</v>
      </c>
      <c r="G40" s="67">
        <f>$TI$672</f>
        <v>7802.4000000000024</v>
      </c>
      <c r="H40" s="300" t="s">
        <v>4874</v>
      </c>
      <c r="I40" s="278"/>
      <c r="J40" s="332" t="s">
        <v>739</v>
      </c>
      <c r="K40" s="219" t="s">
        <v>1652</v>
      </c>
      <c r="M40" s="289" t="s">
        <v>1471</v>
      </c>
      <c r="N40" s="338" t="s">
        <v>4094</v>
      </c>
      <c r="P40" s="67">
        <f>$OM$672-7054.4</f>
        <v>522.99999999999818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778</v>
      </c>
      <c r="D41" s="270" t="s">
        <v>1427</v>
      </c>
      <c r="E41" s="338" t="s">
        <v>4080</v>
      </c>
      <c r="G41" s="67">
        <f>$GW$672</f>
        <v>7776.9999999999991</v>
      </c>
      <c r="H41" s="300" t="s">
        <v>4869</v>
      </c>
      <c r="I41" s="278"/>
      <c r="J41" s="332" t="s">
        <v>745</v>
      </c>
      <c r="K41" s="278" t="s">
        <v>23</v>
      </c>
      <c r="M41" s="289" t="s">
        <v>1443</v>
      </c>
      <c r="N41" s="338" t="s">
        <v>4084</v>
      </c>
      <c r="P41" s="67">
        <f>$KR$672-6817.1</f>
        <v>522.90000000000146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63" t="s">
        <v>3402</v>
      </c>
      <c r="D42" s="270" t="s">
        <v>4063</v>
      </c>
      <c r="E42" s="338" t="s">
        <v>4107</v>
      </c>
      <c r="G42" s="67">
        <f>$APD$672</f>
        <v>7757.8999999999987</v>
      </c>
      <c r="H42" s="300" t="s">
        <v>4878</v>
      </c>
      <c r="J42" s="332" t="s">
        <v>747</v>
      </c>
      <c r="K42" s="219" t="s">
        <v>1662</v>
      </c>
      <c r="M42" s="289" t="s">
        <v>1429</v>
      </c>
      <c r="N42" s="338" t="s">
        <v>4073</v>
      </c>
      <c r="P42" s="67">
        <f>$HO$672-7732.5</f>
        <v>522.5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63" t="s">
        <v>796</v>
      </c>
      <c r="D43" s="87" t="s">
        <v>1442</v>
      </c>
      <c r="E43" s="338" t="s">
        <v>4080</v>
      </c>
      <c r="G43" s="67">
        <f>$KI$672</f>
        <v>7751.8</v>
      </c>
      <c r="H43" s="300" t="s">
        <v>5006</v>
      </c>
      <c r="I43" s="278"/>
      <c r="J43" s="332" t="s">
        <v>750</v>
      </c>
      <c r="K43" s="63" t="s">
        <v>782</v>
      </c>
      <c r="M43" s="288" t="s">
        <v>1476</v>
      </c>
      <c r="N43" s="338" t="s">
        <v>4097</v>
      </c>
      <c r="P43" s="67">
        <f>$QF$672-6032.8</f>
        <v>519.69999999999982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278" t="s">
        <v>2353</v>
      </c>
      <c r="D44" s="87" t="s">
        <v>1430</v>
      </c>
      <c r="E44" s="338" t="s">
        <v>4081</v>
      </c>
      <c r="G44" s="67">
        <f>$HX$672</f>
        <v>7750.1999999999989</v>
      </c>
      <c r="H44" s="300" t="s">
        <v>5095</v>
      </c>
      <c r="J44" s="332" t="s">
        <v>751</v>
      </c>
      <c r="K44" s="63" t="s">
        <v>25</v>
      </c>
      <c r="M44" s="289" t="s">
        <v>1458</v>
      </c>
      <c r="N44" s="338" t="s">
        <v>4068</v>
      </c>
      <c r="P44" s="67">
        <f>$BI$672-7058.8</f>
        <v>518.30000000000018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3407</v>
      </c>
      <c r="D45" s="270" t="s">
        <v>4058</v>
      </c>
      <c r="E45" s="338" t="s">
        <v>4104</v>
      </c>
      <c r="G45" s="67">
        <f>$ANK$672</f>
        <v>7736.35</v>
      </c>
      <c r="H45" s="300" t="s">
        <v>5041</v>
      </c>
      <c r="I45" s="278"/>
      <c r="J45" s="332" t="s">
        <v>754</v>
      </c>
      <c r="K45" s="63" t="s">
        <v>142</v>
      </c>
      <c r="M45" s="289" t="s">
        <v>1418</v>
      </c>
      <c r="N45" s="338" t="s">
        <v>4070</v>
      </c>
      <c r="P45" s="67">
        <f>$DT$672-7588.3</f>
        <v>517.59999999999945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33</v>
      </c>
      <c r="D46" s="87" t="s">
        <v>1457</v>
      </c>
      <c r="E46" s="338" t="s">
        <v>4070</v>
      </c>
      <c r="G46" s="67">
        <f>$AZ$672</f>
        <v>7708.7000000000007</v>
      </c>
      <c r="H46" s="300" t="s">
        <v>4880</v>
      </c>
      <c r="I46" s="219"/>
      <c r="J46" s="332" t="s">
        <v>756</v>
      </c>
      <c r="K46" s="278" t="s">
        <v>3373</v>
      </c>
      <c r="M46" s="288" t="s">
        <v>2156</v>
      </c>
      <c r="N46" s="338" t="s">
        <v>4105</v>
      </c>
      <c r="P46" s="67">
        <f>$AHE$672-6297.9</f>
        <v>514.60000000000218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219" t="s">
        <v>1660</v>
      </c>
      <c r="D47" s="87" t="s">
        <v>1467</v>
      </c>
      <c r="E47" s="338" t="s">
        <v>4091</v>
      </c>
      <c r="G47" s="67">
        <f>$NC$672</f>
        <v>7682.7999999999993</v>
      </c>
      <c r="H47" s="300" t="s">
        <v>4878</v>
      </c>
      <c r="J47" s="332" t="s">
        <v>761</v>
      </c>
      <c r="K47" s="278" t="s">
        <v>2010</v>
      </c>
      <c r="M47" s="289" t="s">
        <v>1482</v>
      </c>
      <c r="N47" s="338" t="s">
        <v>4080</v>
      </c>
      <c r="P47" s="67">
        <f>$SH$672-8149.5</f>
        <v>514.40000000000146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738</v>
      </c>
      <c r="D48" s="87" t="s">
        <v>1434</v>
      </c>
      <c r="E48" s="338" t="s">
        <v>4082</v>
      </c>
      <c r="G48" s="67">
        <f>$JH$672</f>
        <v>7672.2</v>
      </c>
      <c r="H48" s="300" t="s">
        <v>4869</v>
      </c>
      <c r="I48" s="278"/>
      <c r="J48" s="332" t="s">
        <v>765</v>
      </c>
      <c r="K48" s="219" t="s">
        <v>1660</v>
      </c>
      <c r="M48" s="289" t="s">
        <v>1467</v>
      </c>
      <c r="N48" s="338" t="s">
        <v>4091</v>
      </c>
      <c r="P48" s="67">
        <f>$NC$672-7177.1</f>
        <v>505.69999999999891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733</v>
      </c>
      <c r="D49" s="87" t="s">
        <v>1428</v>
      </c>
      <c r="E49" s="338" t="s">
        <v>4086</v>
      </c>
      <c r="G49" s="67">
        <f>$HF$672</f>
        <v>7658.4500000000025</v>
      </c>
      <c r="H49" s="300" t="s">
        <v>5097</v>
      </c>
      <c r="I49" s="278"/>
      <c r="J49" s="332" t="s">
        <v>766</v>
      </c>
      <c r="K49" s="219" t="s">
        <v>1647</v>
      </c>
      <c r="M49" s="289" t="s">
        <v>1423</v>
      </c>
      <c r="N49" s="338" t="s">
        <v>4072</v>
      </c>
      <c r="P49" s="67">
        <f>$FM$672-7375.2</f>
        <v>504.99999999999909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63" t="s">
        <v>748</v>
      </c>
      <c r="D50" s="87" t="s">
        <v>1426</v>
      </c>
      <c r="E50" s="338" t="s">
        <v>4073</v>
      </c>
      <c r="G50" s="67">
        <f>$GN$672</f>
        <v>7657.5999999999995</v>
      </c>
      <c r="H50" s="300" t="s">
        <v>4876</v>
      </c>
      <c r="J50" s="332" t="s">
        <v>767</v>
      </c>
      <c r="K50" s="278" t="s">
        <v>4520</v>
      </c>
      <c r="M50" s="289" t="s">
        <v>1866</v>
      </c>
      <c r="N50" s="338" t="s">
        <v>4102</v>
      </c>
      <c r="P50" s="67">
        <f>$XV$672-7055.3</f>
        <v>504.29999999999745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3405</v>
      </c>
      <c r="D51" s="270" t="s">
        <v>4065</v>
      </c>
      <c r="E51" s="338" t="s">
        <v>4108</v>
      </c>
      <c r="G51" s="67">
        <f>$APV$672</f>
        <v>7616.2500000000027</v>
      </c>
      <c r="H51" s="300" t="s">
        <v>4872</v>
      </c>
      <c r="J51" s="332" t="s">
        <v>773</v>
      </c>
      <c r="K51" s="219" t="s">
        <v>1655</v>
      </c>
      <c r="M51" s="289" t="s">
        <v>1474</v>
      </c>
      <c r="N51" s="338" t="s">
        <v>4096</v>
      </c>
      <c r="P51" s="67">
        <f>$PN$672-6921.7</f>
        <v>503.49999999999909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219" t="s">
        <v>1654</v>
      </c>
      <c r="D52" s="87" t="s">
        <v>1478</v>
      </c>
      <c r="E52" s="338" t="s">
        <v>4095</v>
      </c>
      <c r="G52" s="67">
        <f>$QX$672</f>
        <v>7594.2000000000007</v>
      </c>
      <c r="H52" s="300" t="s">
        <v>4870</v>
      </c>
      <c r="J52" s="332" t="s">
        <v>781</v>
      </c>
      <c r="K52" s="219" t="s">
        <v>1654</v>
      </c>
      <c r="M52" s="289" t="s">
        <v>1478</v>
      </c>
      <c r="N52" s="338" t="s">
        <v>4095</v>
      </c>
      <c r="P52" s="67">
        <f>$QX$672-7091.5</f>
        <v>502.70000000000073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219" t="s">
        <v>1652</v>
      </c>
      <c r="D53" s="87" t="s">
        <v>1471</v>
      </c>
      <c r="E53" s="338" t="s">
        <v>4094</v>
      </c>
      <c r="G53" s="67">
        <f>$OM$672</f>
        <v>7577.3999999999978</v>
      </c>
      <c r="H53" s="300" t="s">
        <v>4879</v>
      </c>
      <c r="I53" s="278"/>
      <c r="J53" s="332" t="s">
        <v>785</v>
      </c>
      <c r="K53" s="278" t="s">
        <v>27</v>
      </c>
      <c r="M53" s="288" t="s">
        <v>1464</v>
      </c>
      <c r="N53" s="338" t="s">
        <v>4089</v>
      </c>
      <c r="P53" s="67">
        <f>$MB$672-6478.8</f>
        <v>500.49999999999909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63" t="s">
        <v>25</v>
      </c>
      <c r="D54" s="87" t="s">
        <v>1458</v>
      </c>
      <c r="E54" s="338" t="s">
        <v>4068</v>
      </c>
      <c r="G54" s="67">
        <f>$BI$672</f>
        <v>7577.1</v>
      </c>
      <c r="H54" s="300" t="s">
        <v>4876</v>
      </c>
      <c r="I54" s="219"/>
      <c r="J54" s="332" t="s">
        <v>786</v>
      </c>
      <c r="K54" s="63" t="s">
        <v>3384</v>
      </c>
      <c r="M54" s="270" t="s">
        <v>4051</v>
      </c>
      <c r="N54" s="338" t="s">
        <v>4110</v>
      </c>
      <c r="P54" s="67">
        <f>$AKZ$672-5494.5</f>
        <v>496.60000000000309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63" t="s">
        <v>3375</v>
      </c>
      <c r="D55" s="270" t="s">
        <v>4042</v>
      </c>
      <c r="E55" s="338" t="s">
        <v>4106</v>
      </c>
      <c r="G55" s="67">
        <f>$AHW$672</f>
        <v>7574.0000000000009</v>
      </c>
      <c r="H55" s="300" t="s">
        <v>4880</v>
      </c>
      <c r="J55" s="332" t="s">
        <v>787</v>
      </c>
      <c r="K55" s="28" t="s">
        <v>37</v>
      </c>
      <c r="M55" s="289" t="s">
        <v>1416</v>
      </c>
      <c r="N55" s="338" t="s">
        <v>4076</v>
      </c>
      <c r="P55" s="67">
        <f>$DB$672-8118.9</f>
        <v>495.00000000000182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278" t="s">
        <v>17</v>
      </c>
      <c r="D56" s="87" t="s">
        <v>1417</v>
      </c>
      <c r="E56" s="338" t="s">
        <v>4077</v>
      </c>
      <c r="G56" s="67">
        <f>$DK$672</f>
        <v>7570.6</v>
      </c>
      <c r="H56" s="300" t="s">
        <v>4873</v>
      </c>
      <c r="I56" s="278"/>
      <c r="J56" s="332" t="s">
        <v>793</v>
      </c>
      <c r="K56" s="63" t="s">
        <v>778</v>
      </c>
      <c r="M56" s="288" t="s">
        <v>1427</v>
      </c>
      <c r="N56" s="338" t="s">
        <v>4080</v>
      </c>
      <c r="P56" s="67">
        <f>$GW$672-7287.8</f>
        <v>489.19999999999891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278" t="s">
        <v>4520</v>
      </c>
      <c r="D57" s="87" t="s">
        <v>1866</v>
      </c>
      <c r="E57" s="338" t="s">
        <v>4102</v>
      </c>
      <c r="G57" s="67">
        <f>$XV$672</f>
        <v>7559.5999999999976</v>
      </c>
      <c r="H57" s="300" t="s">
        <v>4867</v>
      </c>
      <c r="I57" s="278"/>
      <c r="J57" s="332" t="s">
        <v>794</v>
      </c>
      <c r="K57" s="278" t="s">
        <v>17</v>
      </c>
      <c r="M57" s="289" t="s">
        <v>1417</v>
      </c>
      <c r="N57" s="338" t="s">
        <v>4077</v>
      </c>
      <c r="P57" s="67">
        <f>$DK$672-7082.1</f>
        <v>488.5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278" t="s">
        <v>779</v>
      </c>
      <c r="D58" s="87" t="s">
        <v>1455</v>
      </c>
      <c r="E58" s="338" t="s">
        <v>4072</v>
      </c>
      <c r="G58" s="67">
        <f>$AH$672</f>
        <v>7478.9</v>
      </c>
      <c r="H58" s="300" t="s">
        <v>5007</v>
      </c>
      <c r="I58" s="278"/>
      <c r="J58" s="332" t="s">
        <v>795</v>
      </c>
      <c r="K58" s="219" t="s">
        <v>1659</v>
      </c>
      <c r="M58" s="289" t="s">
        <v>1473</v>
      </c>
      <c r="N58" s="338" t="s">
        <v>4095</v>
      </c>
      <c r="P58" s="67">
        <f>$PE$672-7658.1</f>
        <v>486.5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63" t="s">
        <v>3389</v>
      </c>
      <c r="D59" s="270" t="s">
        <v>4056</v>
      </c>
      <c r="E59" s="338" t="s">
        <v>4108</v>
      </c>
      <c r="G59" s="67">
        <f>$AMS$672</f>
        <v>7431.4000000000005</v>
      </c>
      <c r="H59" s="300" t="s">
        <v>5098</v>
      </c>
      <c r="I59" s="278"/>
      <c r="J59" s="332" t="s">
        <v>797</v>
      </c>
      <c r="K59" s="63" t="s">
        <v>3393</v>
      </c>
      <c r="M59" s="270" t="s">
        <v>4061</v>
      </c>
      <c r="N59" s="338" t="s">
        <v>4109</v>
      </c>
      <c r="P59" s="67">
        <f>$AOL$672-8067.9</f>
        <v>484.600000000004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19" t="s">
        <v>1655</v>
      </c>
      <c r="D60" s="87" t="s">
        <v>1474</v>
      </c>
      <c r="E60" s="338" t="s">
        <v>4096</v>
      </c>
      <c r="G60" s="67">
        <f>$PN$672</f>
        <v>7425.1999999999989</v>
      </c>
      <c r="H60" s="300" t="s">
        <v>4867</v>
      </c>
      <c r="I60" s="278"/>
      <c r="J60" s="332" t="s">
        <v>798</v>
      </c>
      <c r="K60" s="278" t="s">
        <v>2034</v>
      </c>
      <c r="M60" s="289" t="s">
        <v>1872</v>
      </c>
      <c r="N60" s="338" t="s">
        <v>4107</v>
      </c>
      <c r="P60" s="67">
        <f>$ZX$672-6580</f>
        <v>482.5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141</v>
      </c>
      <c r="D61" s="87" t="s">
        <v>1425</v>
      </c>
      <c r="E61" s="338" t="s">
        <v>4075</v>
      </c>
      <c r="G61" s="67">
        <f>$GE$672</f>
        <v>7398.7</v>
      </c>
      <c r="H61" s="300" t="s">
        <v>5097</v>
      </c>
      <c r="I61" s="278"/>
      <c r="J61" s="332" t="s">
        <v>799</v>
      </c>
      <c r="K61" s="28" t="s">
        <v>155</v>
      </c>
      <c r="M61" s="289" t="s">
        <v>1459</v>
      </c>
      <c r="N61" s="338" t="s">
        <v>4075</v>
      </c>
      <c r="P61" s="67">
        <f>$BR$672-7838.1</f>
        <v>477.70000000000255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278" t="s">
        <v>2355</v>
      </c>
      <c r="D62" s="87" t="s">
        <v>1415</v>
      </c>
      <c r="E62" s="338" t="s">
        <v>4068</v>
      </c>
      <c r="G62" s="67">
        <f>$CS$672</f>
        <v>7374.3999999999987</v>
      </c>
      <c r="H62" s="300" t="s">
        <v>4947</v>
      </c>
      <c r="J62" s="332" t="s">
        <v>802</v>
      </c>
      <c r="K62" s="278" t="s">
        <v>2161</v>
      </c>
      <c r="M62" s="289" t="s">
        <v>1865</v>
      </c>
      <c r="N62" s="338" t="s">
        <v>4101</v>
      </c>
      <c r="P62" s="67">
        <f>$XM$672-6525.5</f>
        <v>471.49999999999818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734</v>
      </c>
      <c r="D63" s="87" t="s">
        <v>1462</v>
      </c>
      <c r="E63" s="338" t="s">
        <v>4088</v>
      </c>
      <c r="G63" s="67">
        <f>$LJ$672</f>
        <v>7364.1000000000022</v>
      </c>
      <c r="H63" s="300" t="s">
        <v>4875</v>
      </c>
      <c r="I63" s="278"/>
      <c r="J63" s="332" t="s">
        <v>896</v>
      </c>
      <c r="K63" s="278" t="s">
        <v>2031</v>
      </c>
      <c r="M63" s="289" t="s">
        <v>1870</v>
      </c>
      <c r="N63" s="338" t="s">
        <v>4098</v>
      </c>
      <c r="P63" s="67">
        <f>$ZF$672-7571.5</f>
        <v>470</v>
      </c>
      <c r="Q63" s="350">
        <v>40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278" t="s">
        <v>23</v>
      </c>
      <c r="D64" s="87" t="s">
        <v>1443</v>
      </c>
      <c r="E64" s="338" t="s">
        <v>4084</v>
      </c>
      <c r="G64" s="67">
        <f>$KR$672</f>
        <v>7340.0000000000018</v>
      </c>
      <c r="H64" s="300" t="s">
        <v>5091</v>
      </c>
      <c r="J64" s="332" t="s">
        <v>897</v>
      </c>
      <c r="K64" s="278" t="s">
        <v>783</v>
      </c>
      <c r="M64" s="288" t="s">
        <v>1414</v>
      </c>
      <c r="N64" s="338" t="s">
        <v>4071</v>
      </c>
      <c r="P64" s="67">
        <f>$CJ$672-7685.4</f>
        <v>467.70000000000164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3403</v>
      </c>
      <c r="D65" s="270" t="s">
        <v>4064</v>
      </c>
      <c r="E65" s="338" t="s">
        <v>4105</v>
      </c>
      <c r="G65" s="67">
        <f>$APM$672</f>
        <v>7313.8</v>
      </c>
      <c r="H65" s="300" t="s">
        <v>4871</v>
      </c>
      <c r="I65" s="219"/>
      <c r="J65" s="332" t="s">
        <v>898</v>
      </c>
      <c r="K65" s="63" t="s">
        <v>3375</v>
      </c>
      <c r="M65" s="270" t="s">
        <v>4042</v>
      </c>
      <c r="N65" s="338" t="s">
        <v>4106</v>
      </c>
      <c r="P65" s="67">
        <f>$AHW$672-7107.5</f>
        <v>466.50000000000091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63" t="s">
        <v>771</v>
      </c>
      <c r="D66" s="87" t="s">
        <v>1466</v>
      </c>
      <c r="E66" s="338" t="s">
        <v>4090</v>
      </c>
      <c r="G66" s="67">
        <f>$MT$672</f>
        <v>7259.0000000000009</v>
      </c>
      <c r="H66" s="300" t="s">
        <v>4881</v>
      </c>
      <c r="I66" s="278"/>
      <c r="J66" s="332" t="s">
        <v>899</v>
      </c>
      <c r="K66" s="63" t="s">
        <v>3388</v>
      </c>
      <c r="M66" s="270" t="s">
        <v>4055</v>
      </c>
      <c r="N66" s="338" t="s">
        <v>4106</v>
      </c>
      <c r="P66" s="67">
        <f>$AMJ$672-6660.4</f>
        <v>457.89999999999873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63" t="s">
        <v>180</v>
      </c>
      <c r="D67" s="270" t="s">
        <v>4060</v>
      </c>
      <c r="E67" s="338" t="s">
        <v>4105</v>
      </c>
      <c r="G67" s="67">
        <f>$AOC$672</f>
        <v>7227.2</v>
      </c>
      <c r="H67" s="300" t="s">
        <v>5039</v>
      </c>
      <c r="J67" s="332" t="s">
        <v>900</v>
      </c>
      <c r="K67" s="63" t="s">
        <v>771</v>
      </c>
      <c r="M67" s="289" t="s">
        <v>1466</v>
      </c>
      <c r="N67" s="338" t="s">
        <v>4090</v>
      </c>
      <c r="P67" s="67">
        <f>$MT$672-6805.6</f>
        <v>453.40000000000055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3387</v>
      </c>
      <c r="D68" s="270" t="s">
        <v>4054</v>
      </c>
      <c r="E68" s="338" t="s">
        <v>4104</v>
      </c>
      <c r="G68" s="67">
        <f>$AMA$672</f>
        <v>7199.35</v>
      </c>
      <c r="H68" s="300" t="s">
        <v>4883</v>
      </c>
      <c r="J68" s="332" t="s">
        <v>901</v>
      </c>
      <c r="K68" s="63" t="s">
        <v>21</v>
      </c>
      <c r="M68" s="289" t="s">
        <v>1452</v>
      </c>
      <c r="N68" s="338" t="s">
        <v>4068</v>
      </c>
      <c r="P68" s="67">
        <f>$G$672-7679.4</f>
        <v>452.49999999999818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3381</v>
      </c>
      <c r="D69" s="270" t="s">
        <v>4048</v>
      </c>
      <c r="E69" s="338" t="s">
        <v>4104</v>
      </c>
      <c r="G69" s="67">
        <f>$AJY$672</f>
        <v>7174.300000000002</v>
      </c>
      <c r="H69" s="300" t="s">
        <v>5005</v>
      </c>
      <c r="I69" s="278"/>
      <c r="J69" s="332" t="s">
        <v>902</v>
      </c>
      <c r="K69" s="63" t="s">
        <v>3386</v>
      </c>
      <c r="M69" s="270" t="s">
        <v>4053</v>
      </c>
      <c r="N69" s="338" t="s">
        <v>4110</v>
      </c>
      <c r="P69" s="67">
        <f>$ALR$672-6273.6</f>
        <v>444.29999999999927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3388</v>
      </c>
      <c r="D70" s="270" t="s">
        <v>4055</v>
      </c>
      <c r="E70" s="338" t="s">
        <v>4106</v>
      </c>
      <c r="G70" s="67">
        <f>$AMJ$672</f>
        <v>7118.2999999999984</v>
      </c>
      <c r="H70" s="300" t="s">
        <v>4871</v>
      </c>
      <c r="J70" s="332" t="s">
        <v>903</v>
      </c>
      <c r="K70" s="278" t="s">
        <v>2006</v>
      </c>
      <c r="M70" s="289" t="s">
        <v>1485</v>
      </c>
      <c r="N70" s="338" t="s">
        <v>4098</v>
      </c>
      <c r="P70" s="67">
        <f>$TI$672-7358.5</f>
        <v>443.90000000000236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278" t="s">
        <v>2015</v>
      </c>
      <c r="D71" s="87" t="s">
        <v>1859</v>
      </c>
      <c r="E71" s="338" t="s">
        <v>4100</v>
      </c>
      <c r="G71" s="67">
        <f>$VK$672</f>
        <v>7073.4500000000016</v>
      </c>
      <c r="H71" s="300" t="s">
        <v>4876</v>
      </c>
      <c r="J71" s="332" t="s">
        <v>904</v>
      </c>
      <c r="K71" s="219" t="s">
        <v>1657</v>
      </c>
      <c r="M71" s="289" t="s">
        <v>1479</v>
      </c>
      <c r="N71" s="338" t="s">
        <v>4095</v>
      </c>
      <c r="P71" s="67">
        <f>$RG$672-7684.45</f>
        <v>442.60000000000036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219" t="s">
        <v>1643</v>
      </c>
      <c r="D72" s="87" t="s">
        <v>1855</v>
      </c>
      <c r="E72" s="338" t="s">
        <v>4099</v>
      </c>
      <c r="G72" s="67">
        <f>$UA$672</f>
        <v>7069.7999999999993</v>
      </c>
      <c r="H72" s="300" t="s">
        <v>4873</v>
      </c>
      <c r="I72" s="278"/>
      <c r="J72" s="332" t="s">
        <v>905</v>
      </c>
      <c r="K72" s="63" t="s">
        <v>33</v>
      </c>
      <c r="M72" s="289" t="s">
        <v>1457</v>
      </c>
      <c r="N72" s="338" t="s">
        <v>4070</v>
      </c>
      <c r="P72" s="67">
        <f>$AZ$672-7272.4</f>
        <v>436.30000000000109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278" t="s">
        <v>2034</v>
      </c>
      <c r="D73" s="87" t="s">
        <v>1872</v>
      </c>
      <c r="E73" s="338" t="s">
        <v>4107</v>
      </c>
      <c r="G73" s="67">
        <f>$ZX$672</f>
        <v>7062.5</v>
      </c>
      <c r="H73" s="300" t="s">
        <v>4867</v>
      </c>
      <c r="I73" s="278"/>
      <c r="J73" s="332" t="s">
        <v>906</v>
      </c>
      <c r="K73" s="63" t="s">
        <v>755</v>
      </c>
      <c r="M73" s="289" t="s">
        <v>1472</v>
      </c>
      <c r="N73" s="338" t="s">
        <v>4092</v>
      </c>
      <c r="P73" s="67">
        <f>$OV$672-5160.9</f>
        <v>435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3379</v>
      </c>
      <c r="D74" s="270" t="s">
        <v>4046</v>
      </c>
      <c r="E74" s="338" t="s">
        <v>4109</v>
      </c>
      <c r="G74" s="67">
        <f>$AJG$672</f>
        <v>7036.2999999999993</v>
      </c>
      <c r="H74" s="300" t="s">
        <v>4873</v>
      </c>
      <c r="I74" s="28"/>
      <c r="J74" s="332" t="s">
        <v>907</v>
      </c>
      <c r="K74" s="63" t="s">
        <v>3376</v>
      </c>
      <c r="M74" s="270" t="s">
        <v>4043</v>
      </c>
      <c r="N74" s="338" t="s">
        <v>4106</v>
      </c>
      <c r="P74" s="67">
        <f>$AIF$672-5505.7</f>
        <v>433.99999999999909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63" t="s">
        <v>3385</v>
      </c>
      <c r="D75" s="270" t="s">
        <v>4052</v>
      </c>
      <c r="E75" s="338" t="s">
        <v>4110</v>
      </c>
      <c r="G75" s="67">
        <f>$ALI$672</f>
        <v>7029.699999999998</v>
      </c>
      <c r="H75" s="300" t="s">
        <v>4873</v>
      </c>
      <c r="I75" s="278"/>
      <c r="J75" s="332" t="s">
        <v>908</v>
      </c>
      <c r="K75" s="278" t="s">
        <v>3374</v>
      </c>
      <c r="M75" s="288" t="s">
        <v>3222</v>
      </c>
      <c r="N75" s="338" t="s">
        <v>4103</v>
      </c>
      <c r="P75" s="67">
        <f>$AHN$672-5515.6</f>
        <v>433.94999999999891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278" t="s">
        <v>2161</v>
      </c>
      <c r="D76" s="87" t="s">
        <v>1865</v>
      </c>
      <c r="E76" s="338" t="s">
        <v>4101</v>
      </c>
      <c r="G76" s="67">
        <f>$XM$672</f>
        <v>6996.9999999999982</v>
      </c>
      <c r="H76" s="300" t="s">
        <v>4871</v>
      </c>
      <c r="I76" s="219"/>
      <c r="J76" s="332" t="s">
        <v>909</v>
      </c>
      <c r="K76" s="63" t="s">
        <v>3385</v>
      </c>
      <c r="M76" s="270" t="s">
        <v>4052</v>
      </c>
      <c r="N76" s="338" t="s">
        <v>4110</v>
      </c>
      <c r="P76" s="67">
        <f>$ALI$672-6598.3</f>
        <v>431.39999999999782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278" t="s">
        <v>27</v>
      </c>
      <c r="D77" s="270" t="s">
        <v>1464</v>
      </c>
      <c r="E77" s="338" t="s">
        <v>4089</v>
      </c>
      <c r="G77" s="67">
        <f>$MB$672</f>
        <v>6979.2999999999993</v>
      </c>
      <c r="H77" s="300" t="s">
        <v>4876</v>
      </c>
      <c r="I77" s="219"/>
      <c r="J77" s="332" t="s">
        <v>910</v>
      </c>
      <c r="K77" s="278" t="s">
        <v>2014</v>
      </c>
      <c r="M77" s="289" t="s">
        <v>1858</v>
      </c>
      <c r="N77" s="338" t="s">
        <v>4099</v>
      </c>
      <c r="P77" s="67">
        <f>$VB$672-5816.8</f>
        <v>427.49999999999909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63" t="s">
        <v>790</v>
      </c>
      <c r="D78" s="87" t="s">
        <v>1433</v>
      </c>
      <c r="E78" s="338" t="s">
        <v>4078</v>
      </c>
      <c r="G78" s="67">
        <f>$IY$672</f>
        <v>6906.5000000000009</v>
      </c>
      <c r="H78" s="300" t="s">
        <v>4869</v>
      </c>
      <c r="J78" s="332" t="s">
        <v>911</v>
      </c>
      <c r="K78" s="63" t="s">
        <v>3379</v>
      </c>
      <c r="M78" s="270" t="s">
        <v>4046</v>
      </c>
      <c r="N78" s="338" t="s">
        <v>4109</v>
      </c>
      <c r="P78" s="67">
        <f>$AJG$672-6609.3</f>
        <v>426.99999999999909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3373</v>
      </c>
      <c r="D79" s="270" t="s">
        <v>2156</v>
      </c>
      <c r="E79" s="338" t="s">
        <v>4105</v>
      </c>
      <c r="G79" s="67">
        <f>$AHE$672</f>
        <v>6812.5000000000018</v>
      </c>
      <c r="H79" s="300" t="s">
        <v>4876</v>
      </c>
      <c r="I79" s="278"/>
      <c r="J79" s="332" t="s">
        <v>912</v>
      </c>
      <c r="K79" s="219" t="s">
        <v>1643</v>
      </c>
      <c r="M79" s="289" t="s">
        <v>1855</v>
      </c>
      <c r="N79" s="338" t="s">
        <v>4099</v>
      </c>
      <c r="P79" s="67">
        <f>$UA$672-6649.3</f>
        <v>420.49999999999909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13</v>
      </c>
      <c r="D80" s="270" t="s">
        <v>1469</v>
      </c>
      <c r="E80" s="338" t="s">
        <v>4092</v>
      </c>
      <c r="G80" s="67">
        <f>$NU$672</f>
        <v>6805.6000000000013</v>
      </c>
      <c r="H80" s="300" t="s">
        <v>4871</v>
      </c>
      <c r="I80" s="278"/>
      <c r="J80" s="332" t="s">
        <v>913</v>
      </c>
      <c r="K80" s="219" t="s">
        <v>1644</v>
      </c>
      <c r="M80" s="289" t="s">
        <v>1857</v>
      </c>
      <c r="N80" s="338" t="s">
        <v>4099</v>
      </c>
      <c r="P80" s="67">
        <f>$US$672-6129.75</f>
        <v>418.199999999998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63" t="s">
        <v>3377</v>
      </c>
      <c r="D81" s="270" t="s">
        <v>4044</v>
      </c>
      <c r="E81" s="338" t="s">
        <v>4107</v>
      </c>
      <c r="G81" s="67">
        <f>$AIO$672</f>
        <v>6743.5500000000011</v>
      </c>
      <c r="H81" s="300" t="s">
        <v>4877</v>
      </c>
      <c r="J81" s="332" t="s">
        <v>914</v>
      </c>
      <c r="K81" s="278" t="s">
        <v>1</v>
      </c>
      <c r="M81" s="289" t="s">
        <v>1484</v>
      </c>
      <c r="N81" s="338" t="s">
        <v>4103</v>
      </c>
      <c r="P81" s="67">
        <f>$SZ$672-5142.7</f>
        <v>416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3386</v>
      </c>
      <c r="D82" s="270" t="s">
        <v>4053</v>
      </c>
      <c r="E82" s="338" t="s">
        <v>4110</v>
      </c>
      <c r="G82" s="67">
        <f>$ALR$672</f>
        <v>6717.9</v>
      </c>
      <c r="H82" s="300" t="s">
        <v>4876</v>
      </c>
      <c r="I82" s="278"/>
      <c r="J82" s="332" t="s">
        <v>915</v>
      </c>
      <c r="K82" s="278" t="s">
        <v>9</v>
      </c>
      <c r="M82" s="288" t="s">
        <v>1463</v>
      </c>
      <c r="N82" s="338" t="s">
        <v>4084</v>
      </c>
      <c r="P82" s="67">
        <f>$LS$672-8047.9</f>
        <v>407.5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63" t="s">
        <v>753</v>
      </c>
      <c r="D83" s="87" t="s">
        <v>1420</v>
      </c>
      <c r="E83" s="338" t="s">
        <v>4078</v>
      </c>
      <c r="G83" s="67">
        <f>$EL$672</f>
        <v>6636.6</v>
      </c>
      <c r="H83" s="300" t="s">
        <v>4870</v>
      </c>
      <c r="I83" s="278"/>
      <c r="J83" s="332" t="s">
        <v>916</v>
      </c>
      <c r="K83" s="278" t="s">
        <v>2057</v>
      </c>
      <c r="M83" s="289" t="s">
        <v>2404</v>
      </c>
      <c r="N83" s="338" t="s">
        <v>4103</v>
      </c>
      <c r="P83" s="67">
        <f>$AAY$672-5678.55</f>
        <v>406.49999999999909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728</v>
      </c>
      <c r="D84" s="87" t="s">
        <v>1486</v>
      </c>
      <c r="E84" s="338" t="s">
        <v>4093</v>
      </c>
      <c r="G84" s="67">
        <f>$TR$672</f>
        <v>6631.8999999999987</v>
      </c>
      <c r="H84" s="300" t="s">
        <v>5005</v>
      </c>
      <c r="I84" s="278"/>
      <c r="J84" s="332" t="s">
        <v>917</v>
      </c>
      <c r="K84" s="278" t="s">
        <v>15</v>
      </c>
      <c r="M84" s="289" t="s">
        <v>1430</v>
      </c>
      <c r="N84" s="338" t="s">
        <v>4081</v>
      </c>
      <c r="P84" s="67">
        <f>$HX$672-7346.6</f>
        <v>403.59999999999854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63" t="s">
        <v>782</v>
      </c>
      <c r="D85" s="270" t="s">
        <v>1476</v>
      </c>
      <c r="E85" s="338" t="s">
        <v>4097</v>
      </c>
      <c r="G85" s="67">
        <f>$QF$672</f>
        <v>6552.5</v>
      </c>
      <c r="H85" s="300" t="s">
        <v>4879</v>
      </c>
      <c r="I85" s="278"/>
      <c r="J85" s="332" t="s">
        <v>918</v>
      </c>
      <c r="K85" s="278" t="s">
        <v>2030</v>
      </c>
      <c r="M85" s="289" t="s">
        <v>2407</v>
      </c>
      <c r="N85" s="338" t="s">
        <v>4103</v>
      </c>
      <c r="P85" s="67">
        <f>$ABZ$672-5965.9</f>
        <v>400.60000000000127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19" t="s">
        <v>1644</v>
      </c>
      <c r="D86" s="87" t="s">
        <v>1857</v>
      </c>
      <c r="E86" s="338" t="s">
        <v>4099</v>
      </c>
      <c r="G86" s="67">
        <f>$US$672</f>
        <v>6547.949999999998</v>
      </c>
      <c r="H86" s="300" t="s">
        <v>4883</v>
      </c>
      <c r="I86" s="278"/>
      <c r="J86" s="332" t="s">
        <v>919</v>
      </c>
      <c r="K86" s="278" t="s">
        <v>2015</v>
      </c>
      <c r="M86" s="289" t="s">
        <v>1859</v>
      </c>
      <c r="N86" s="338" t="s">
        <v>4100</v>
      </c>
      <c r="P86" s="67">
        <f>$VK$672-6674.85</f>
        <v>398.60000000000127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278" t="s">
        <v>2028</v>
      </c>
      <c r="D87" s="87" t="s">
        <v>2403</v>
      </c>
      <c r="E87" s="338" t="s">
        <v>4103</v>
      </c>
      <c r="G87" s="67">
        <f>$AAP$672</f>
        <v>6542.7999999999984</v>
      </c>
      <c r="H87" s="300" t="s">
        <v>4881</v>
      </c>
      <c r="I87" s="278"/>
      <c r="J87" s="332" t="s">
        <v>920</v>
      </c>
      <c r="K87" s="63" t="s">
        <v>141</v>
      </c>
      <c r="M87" s="289" t="s">
        <v>1425</v>
      </c>
      <c r="N87" s="338" t="s">
        <v>4075</v>
      </c>
      <c r="P87" s="67">
        <f>$GE$672-7003.2</f>
        <v>395.5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2030</v>
      </c>
      <c r="D88" s="87" t="s">
        <v>2407</v>
      </c>
      <c r="E88" s="338" t="s">
        <v>4103</v>
      </c>
      <c r="G88" s="67">
        <f>$ABZ$672</f>
        <v>6366.5000000000009</v>
      </c>
      <c r="H88" s="300" t="s">
        <v>4869</v>
      </c>
      <c r="I88" s="278"/>
      <c r="J88" s="332" t="s">
        <v>921</v>
      </c>
      <c r="K88" s="63" t="s">
        <v>762</v>
      </c>
      <c r="M88" s="289" t="s">
        <v>1422</v>
      </c>
      <c r="N88" s="338" t="s">
        <v>4075</v>
      </c>
      <c r="P88" s="67">
        <f>$FD$672-7656.6</f>
        <v>387.70000000000073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63" t="s">
        <v>764</v>
      </c>
      <c r="D89" s="270" t="s">
        <v>1440</v>
      </c>
      <c r="E89" s="338" t="s">
        <v>4087</v>
      </c>
      <c r="G89" s="67">
        <f>$JQ$672</f>
        <v>6263.5999999999995</v>
      </c>
      <c r="H89" s="300" t="s">
        <v>4869</v>
      </c>
      <c r="I89" s="278"/>
      <c r="J89" s="332" t="s">
        <v>922</v>
      </c>
      <c r="K89" s="278" t="s">
        <v>154</v>
      </c>
      <c r="M89" s="289" t="s">
        <v>1453</v>
      </c>
      <c r="N89" s="338" t="s">
        <v>4068</v>
      </c>
      <c r="P89" s="67">
        <f>$P$672-7513.9</f>
        <v>383.00000000000182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278" t="s">
        <v>2014</v>
      </c>
      <c r="D90" s="87" t="s">
        <v>1858</v>
      </c>
      <c r="E90" s="338" t="s">
        <v>4099</v>
      </c>
      <c r="G90" s="67">
        <f>$VB$672</f>
        <v>6244.2999999999993</v>
      </c>
      <c r="H90" s="300" t="s">
        <v>4869</v>
      </c>
      <c r="I90" s="278"/>
      <c r="J90" s="332" t="s">
        <v>923</v>
      </c>
      <c r="K90" s="278" t="s">
        <v>143</v>
      </c>
      <c r="M90" s="289" t="s">
        <v>1415</v>
      </c>
      <c r="N90" s="338" t="s">
        <v>4068</v>
      </c>
      <c r="P90" s="67">
        <f>$CS$672-6994.1</f>
        <v>380.29999999999836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4087</v>
      </c>
      <c r="G91" s="67">
        <f>$NL$672</f>
        <v>6217.9000000000015</v>
      </c>
      <c r="H91" s="300" t="s">
        <v>4871</v>
      </c>
      <c r="I91" s="278"/>
      <c r="J91" s="332" t="s">
        <v>924</v>
      </c>
      <c r="K91" s="278" t="s">
        <v>779</v>
      </c>
      <c r="M91" s="289" t="s">
        <v>1455</v>
      </c>
      <c r="N91" s="338" t="s">
        <v>4072</v>
      </c>
      <c r="P91" s="67">
        <f>$AH$672-7102.9</f>
        <v>376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2057</v>
      </c>
      <c r="D92" s="87" t="s">
        <v>2404</v>
      </c>
      <c r="E92" s="338" t="s">
        <v>4103</v>
      </c>
      <c r="G92" s="67">
        <f>$AAY$672</f>
        <v>6085.0499999999993</v>
      </c>
      <c r="H92" s="300" t="s">
        <v>4867</v>
      </c>
      <c r="I92" s="278"/>
      <c r="J92" s="332" t="s">
        <v>925</v>
      </c>
      <c r="K92" s="63" t="s">
        <v>3394</v>
      </c>
      <c r="M92" s="270" t="s">
        <v>4062</v>
      </c>
      <c r="N92" s="338" t="s">
        <v>4106</v>
      </c>
      <c r="P92" s="67">
        <f>$AOU$672-8124</f>
        <v>358.10000000000036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3384</v>
      </c>
      <c r="D93" s="270" t="s">
        <v>4051</v>
      </c>
      <c r="E93" s="338" t="s">
        <v>4110</v>
      </c>
      <c r="G93" s="67">
        <f>$AKZ$672</f>
        <v>5991.1000000000031</v>
      </c>
      <c r="H93" s="300" t="s">
        <v>4876</v>
      </c>
      <c r="I93" s="278"/>
      <c r="J93" s="332" t="s">
        <v>926</v>
      </c>
      <c r="K93" s="278" t="s">
        <v>31</v>
      </c>
      <c r="M93" s="288" t="s">
        <v>1454</v>
      </c>
      <c r="N93" s="338" t="s">
        <v>4069</v>
      </c>
      <c r="P93" s="67">
        <f>$Y$672-7574.3</f>
        <v>349.99999999999909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3374</v>
      </c>
      <c r="D94" s="270" t="s">
        <v>3222</v>
      </c>
      <c r="E94" s="338" t="s">
        <v>4103</v>
      </c>
      <c r="G94" s="67">
        <f>$AHN$672</f>
        <v>5949.5499999999993</v>
      </c>
      <c r="H94" s="300" t="s">
        <v>4870</v>
      </c>
      <c r="I94" s="278"/>
      <c r="J94" s="332" t="s">
        <v>927</v>
      </c>
      <c r="K94" s="63" t="s">
        <v>790</v>
      </c>
      <c r="M94" s="289" t="s">
        <v>1433</v>
      </c>
      <c r="N94" s="338" t="s">
        <v>4078</v>
      </c>
      <c r="P94" s="67">
        <f>$IY$672-6560.7</f>
        <v>345.80000000000109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3376</v>
      </c>
      <c r="D95" s="270" t="s">
        <v>4043</v>
      </c>
      <c r="E95" s="338" t="s">
        <v>4106</v>
      </c>
      <c r="G95" s="67">
        <f>$AIF$672</f>
        <v>5939.6999999999989</v>
      </c>
      <c r="H95" s="300" t="s">
        <v>4869</v>
      </c>
      <c r="I95" s="278"/>
      <c r="J95" s="332" t="s">
        <v>928</v>
      </c>
      <c r="K95" s="278" t="s">
        <v>2056</v>
      </c>
      <c r="M95" s="289" t="s">
        <v>2406</v>
      </c>
      <c r="N95" s="338" t="s">
        <v>4110</v>
      </c>
      <c r="P95" s="67">
        <f>$ABQ$672-4637.7</f>
        <v>321.90000000000236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2054</v>
      </c>
      <c r="D96" s="87" t="s">
        <v>2402</v>
      </c>
      <c r="E96" s="338" t="s">
        <v>4110</v>
      </c>
      <c r="G96" s="67">
        <f>$AAG$672</f>
        <v>5742.8</v>
      </c>
      <c r="H96" s="300" t="s">
        <v>4876</v>
      </c>
      <c r="I96" s="278"/>
      <c r="J96" s="332" t="s">
        <v>929</v>
      </c>
      <c r="K96" s="63" t="s">
        <v>764</v>
      </c>
      <c r="M96" s="288" t="s">
        <v>1440</v>
      </c>
      <c r="N96" s="338" t="s">
        <v>4087</v>
      </c>
      <c r="P96" s="67">
        <f>$JQ$672-5954.5</f>
        <v>309.09999999999945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2011</v>
      </c>
      <c r="D97" s="270" t="s">
        <v>1860</v>
      </c>
      <c r="E97" s="338" t="s">
        <v>4095</v>
      </c>
      <c r="G97" s="67">
        <f>$VT$672</f>
        <v>5667.7</v>
      </c>
      <c r="H97" s="300" t="s">
        <v>4869</v>
      </c>
      <c r="I97" s="278"/>
      <c r="J97" s="332" t="s">
        <v>930</v>
      </c>
      <c r="K97" s="278" t="s">
        <v>2007</v>
      </c>
      <c r="M97" s="289" t="s">
        <v>1862</v>
      </c>
      <c r="N97" s="338" t="s">
        <v>4093</v>
      </c>
      <c r="P97" s="67">
        <f>$WL$672-4814.7</f>
        <v>281.89999999999964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63" t="s">
        <v>755</v>
      </c>
      <c r="D98" s="87" t="s">
        <v>1472</v>
      </c>
      <c r="E98" s="338" t="s">
        <v>4092</v>
      </c>
      <c r="G98" s="67">
        <f>$OV$672</f>
        <v>5595.9</v>
      </c>
      <c r="H98" s="300" t="s">
        <v>4867</v>
      </c>
      <c r="I98" s="278"/>
      <c r="J98" s="332" t="s">
        <v>931</v>
      </c>
      <c r="K98" s="63" t="s">
        <v>763</v>
      </c>
      <c r="M98" s="289" t="s">
        <v>1468</v>
      </c>
      <c r="N98" s="338" t="s">
        <v>4087</v>
      </c>
      <c r="P98" s="67">
        <f>$NL$672-5947.9</f>
        <v>270.00000000000182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1</v>
      </c>
      <c r="D99" s="87" t="s">
        <v>1484</v>
      </c>
      <c r="E99" s="338" t="s">
        <v>4103</v>
      </c>
      <c r="G99" s="67">
        <f>$SZ$672</f>
        <v>5558.7</v>
      </c>
      <c r="H99" s="300" t="s">
        <v>4867</v>
      </c>
      <c r="I99" s="278"/>
      <c r="J99" s="332" t="s">
        <v>932</v>
      </c>
      <c r="K99" s="63" t="s">
        <v>749</v>
      </c>
      <c r="M99" s="289" t="s">
        <v>1421</v>
      </c>
      <c r="N99" s="338" t="s">
        <v>4074</v>
      </c>
      <c r="P99" s="67">
        <f>$EU$672-7771.1</f>
        <v>265.5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2007</v>
      </c>
      <c r="D100" s="87" t="s">
        <v>1862</v>
      </c>
      <c r="E100" s="338" t="s">
        <v>4093</v>
      </c>
      <c r="G100" s="67">
        <f>$WL$672</f>
        <v>5096.5999999999995</v>
      </c>
      <c r="H100" s="300" t="s">
        <v>4867</v>
      </c>
      <c r="I100" s="278"/>
      <c r="J100" s="332" t="s">
        <v>933</v>
      </c>
      <c r="K100" s="63" t="s">
        <v>733</v>
      </c>
      <c r="M100" s="289" t="s">
        <v>1428</v>
      </c>
      <c r="N100" s="338" t="s">
        <v>4086</v>
      </c>
      <c r="P100" s="67">
        <f>$HF$672-7400.45</f>
        <v>258.00000000000273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2056</v>
      </c>
      <c r="D101" s="87" t="s">
        <v>2406</v>
      </c>
      <c r="E101" s="338" t="s">
        <v>4110</v>
      </c>
      <c r="G101" s="67">
        <f>$ABQ$672</f>
        <v>4959.6000000000022</v>
      </c>
      <c r="H101" s="300" t="s">
        <v>4867</v>
      </c>
      <c r="I101" s="278"/>
      <c r="J101" s="332" t="s">
        <v>934</v>
      </c>
      <c r="K101" s="278" t="s">
        <v>2011</v>
      </c>
      <c r="M101" s="288" t="s">
        <v>1860</v>
      </c>
      <c r="N101" s="338" t="s">
        <v>4095</v>
      </c>
      <c r="P101" s="67">
        <f>$VT$672-5456.6</f>
        <v>211.09999999999945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4093</v>
      </c>
      <c r="G102" s="67">
        <f>$OD$672</f>
        <v>4045.6</v>
      </c>
      <c r="H102" s="300" t="s">
        <v>4867</v>
      </c>
      <c r="I102" s="278"/>
      <c r="J102" s="332" t="s">
        <v>935</v>
      </c>
      <c r="K102" s="63" t="s">
        <v>788</v>
      </c>
      <c r="M102" s="289" t="s">
        <v>1470</v>
      </c>
      <c r="N102" s="338" t="s">
        <v>4093</v>
      </c>
      <c r="P102" s="67">
        <f>$OD$672-3870.3</f>
        <v>175.29999999999973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4067</v>
      </c>
      <c r="D104" s="289" t="s">
        <v>4029</v>
      </c>
      <c r="G104" s="289" t="s">
        <v>4033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4024</v>
      </c>
      <c r="D105" s="289" t="s">
        <v>2020</v>
      </c>
      <c r="G105" s="289" t="s">
        <v>4034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4025</v>
      </c>
      <c r="D106" s="289" t="s">
        <v>2158</v>
      </c>
      <c r="G106" s="289" t="s">
        <v>4035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2018</v>
      </c>
      <c r="D107" s="289" t="s">
        <v>2159</v>
      </c>
      <c r="G107" s="289" t="s">
        <v>4036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4026</v>
      </c>
      <c r="B108" s="179"/>
      <c r="C108" s="63"/>
      <c r="D108" s="289" t="s">
        <v>2160</v>
      </c>
      <c r="E108" s="79"/>
      <c r="F108" s="75"/>
      <c r="G108" s="289" t="s">
        <v>4037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2019</v>
      </c>
      <c r="B109" s="179"/>
      <c r="C109" s="63"/>
      <c r="D109" s="289" t="s">
        <v>4030</v>
      </c>
      <c r="E109" s="79"/>
      <c r="F109" s="75"/>
      <c r="G109" s="289" t="s">
        <v>4038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4027</v>
      </c>
      <c r="B110" s="179"/>
      <c r="C110" s="63"/>
      <c r="D110" s="289" t="s">
        <v>4031</v>
      </c>
      <c r="E110" s="79"/>
      <c r="F110" s="75"/>
      <c r="G110" s="289" t="s">
        <v>4039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4028</v>
      </c>
      <c r="B111" s="179"/>
      <c r="C111" s="63"/>
      <c r="D111" s="87" t="s">
        <v>4032</v>
      </c>
      <c r="E111" s="79"/>
      <c r="F111" s="75"/>
      <c r="G111" s="289" t="s">
        <v>4040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3223</v>
      </c>
      <c r="B112" s="179"/>
      <c r="C112" s="63"/>
      <c r="D112" s="87"/>
      <c r="E112" s="79"/>
      <c r="F112" s="75"/>
      <c r="G112" s="87" t="s">
        <v>4041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2004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2004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63"/>
      <c r="D118" s="289" t="s">
        <v>1478</v>
      </c>
      <c r="E118" s="338" t="s">
        <v>4095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3390</v>
      </c>
      <c r="L118" s="63"/>
      <c r="M118" s="270" t="s">
        <v>4057</v>
      </c>
      <c r="N118" s="338" t="s">
        <v>4104</v>
      </c>
      <c r="O118" s="3"/>
      <c r="P118" s="9">
        <f>SUM(Puntenklassement!D69)</f>
        <v>3399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3383</v>
      </c>
      <c r="C119" s="63"/>
      <c r="D119" s="270" t="s">
        <v>4050</v>
      </c>
      <c r="E119" s="338" t="s">
        <v>4104</v>
      </c>
      <c r="G119" s="214">
        <v>8</v>
      </c>
      <c r="H119" s="212">
        <v>3</v>
      </c>
      <c r="I119" s="213">
        <v>3</v>
      </c>
      <c r="J119" s="5" t="s">
        <v>2</v>
      </c>
      <c r="K119" s="63" t="s">
        <v>749</v>
      </c>
      <c r="L119" s="63"/>
      <c r="M119" s="289" t="s">
        <v>1421</v>
      </c>
      <c r="N119" s="338" t="s">
        <v>4074</v>
      </c>
      <c r="P119" s="9">
        <f>SUM(Puntenklassement!D77)</f>
        <v>3115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2031</v>
      </c>
      <c r="C120" s="63"/>
      <c r="D120" s="289" t="s">
        <v>1870</v>
      </c>
      <c r="E120" s="338" t="s">
        <v>4098</v>
      </c>
      <c r="G120" s="214">
        <v>7</v>
      </c>
      <c r="H120" s="212">
        <v>3</v>
      </c>
      <c r="I120" s="213">
        <v>0</v>
      </c>
      <c r="J120" s="5" t="s">
        <v>3</v>
      </c>
      <c r="K120" s="63" t="s">
        <v>762</v>
      </c>
      <c r="L120" s="63"/>
      <c r="M120" s="289" t="s">
        <v>1422</v>
      </c>
      <c r="N120" s="338" t="s">
        <v>4075</v>
      </c>
      <c r="P120" s="9">
        <f>SUM(Puntenklassement!D56)</f>
        <v>3106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3373</v>
      </c>
      <c r="C121" s="63"/>
      <c r="D121" s="288" t="s">
        <v>2156</v>
      </c>
      <c r="E121" s="338" t="s">
        <v>4105</v>
      </c>
      <c r="G121" s="214">
        <v>6</v>
      </c>
      <c r="H121" s="212">
        <v>1</v>
      </c>
      <c r="I121" s="213">
        <v>0</v>
      </c>
      <c r="J121" s="5" t="s">
        <v>5</v>
      </c>
      <c r="K121" s="219" t="s">
        <v>1656</v>
      </c>
      <c r="L121" s="63"/>
      <c r="M121" s="288" t="s">
        <v>1477</v>
      </c>
      <c r="N121" s="338" t="s">
        <v>4095</v>
      </c>
      <c r="P121" s="9">
        <f>SUM(Puntenklassement!D63)</f>
        <v>3099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2011</v>
      </c>
      <c r="C122" s="63"/>
      <c r="D122" s="288" t="s">
        <v>1860</v>
      </c>
      <c r="E122" s="338" t="s">
        <v>4095</v>
      </c>
      <c r="G122" s="214">
        <v>5</v>
      </c>
      <c r="H122" s="212">
        <v>3</v>
      </c>
      <c r="I122" s="213">
        <v>2</v>
      </c>
      <c r="J122" s="5" t="s">
        <v>7</v>
      </c>
      <c r="K122" s="278" t="s">
        <v>2012</v>
      </c>
      <c r="L122" s="63"/>
      <c r="M122" s="289" t="s">
        <v>1481</v>
      </c>
      <c r="N122" s="338" t="s">
        <v>4091</v>
      </c>
      <c r="P122" s="9">
        <f>SUM(Puntenklassement!D102)</f>
        <v>3087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3391</v>
      </c>
      <c r="C123" s="63"/>
      <c r="D123" s="270" t="s">
        <v>4059</v>
      </c>
      <c r="E123" s="338" t="s">
        <v>4109</v>
      </c>
      <c r="G123" s="214">
        <v>5</v>
      </c>
      <c r="H123" s="212">
        <v>3</v>
      </c>
      <c r="I123" s="213">
        <v>1</v>
      </c>
      <c r="J123" s="5" t="s">
        <v>8</v>
      </c>
      <c r="K123" s="278" t="s">
        <v>2010</v>
      </c>
      <c r="L123" s="63"/>
      <c r="M123" s="289" t="s">
        <v>1482</v>
      </c>
      <c r="N123" s="338" t="s">
        <v>4080</v>
      </c>
      <c r="P123" s="9">
        <f>SUM(Puntenklassement!D17)</f>
        <v>3032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8" t="s">
        <v>2351</v>
      </c>
      <c r="C124" s="63"/>
      <c r="D124" s="289" t="s">
        <v>1459</v>
      </c>
      <c r="E124" s="338" t="s">
        <v>4075</v>
      </c>
      <c r="G124" s="214">
        <v>5</v>
      </c>
      <c r="H124" s="212">
        <v>3</v>
      </c>
      <c r="I124" s="213">
        <v>0</v>
      </c>
      <c r="J124" s="5" t="s">
        <v>10</v>
      </c>
      <c r="K124" s="63" t="s">
        <v>33</v>
      </c>
      <c r="L124" s="63"/>
      <c r="M124" s="289" t="s">
        <v>1457</v>
      </c>
      <c r="N124" s="338" t="s">
        <v>4070</v>
      </c>
      <c r="P124" s="9">
        <f>SUM(Puntenklassement!D91)</f>
        <v>3011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2022</v>
      </c>
      <c r="C125" s="63"/>
      <c r="D125" s="289" t="s">
        <v>1483</v>
      </c>
      <c r="E125" s="338" t="s">
        <v>4087</v>
      </c>
      <c r="G125" s="214">
        <v>5</v>
      </c>
      <c r="H125" s="212">
        <v>2</v>
      </c>
      <c r="I125" s="213">
        <v>2</v>
      </c>
      <c r="J125" s="5" t="s">
        <v>12</v>
      </c>
      <c r="K125" s="219" t="s">
        <v>1662</v>
      </c>
      <c r="L125" s="63"/>
      <c r="M125" s="289" t="s">
        <v>1429</v>
      </c>
      <c r="N125" s="338" t="s">
        <v>4073</v>
      </c>
      <c r="P125" s="9">
        <f>SUM(Puntenklassement!D94)</f>
        <v>3002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19" t="s">
        <v>1657</v>
      </c>
      <c r="D126" s="289" t="s">
        <v>1479</v>
      </c>
      <c r="E126" s="338" t="s">
        <v>4095</v>
      </c>
      <c r="F126" s="3"/>
      <c r="G126" s="214">
        <v>5</v>
      </c>
      <c r="H126" s="212">
        <v>2</v>
      </c>
      <c r="I126" s="213">
        <v>0</v>
      </c>
      <c r="J126" s="5" t="s">
        <v>14</v>
      </c>
      <c r="K126" s="63" t="s">
        <v>4116</v>
      </c>
      <c r="M126" s="289" t="s">
        <v>1433</v>
      </c>
      <c r="N126" s="338" t="s">
        <v>4078</v>
      </c>
      <c r="O126" s="3"/>
      <c r="P126" s="9">
        <f>SUM(Puntenklassement!D87)</f>
        <v>2992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4112</v>
      </c>
      <c r="C127" s="63"/>
      <c r="D127" s="289" t="s">
        <v>1441</v>
      </c>
      <c r="E127" s="338" t="s">
        <v>4083</v>
      </c>
      <c r="G127" s="214">
        <v>4</v>
      </c>
      <c r="H127" s="212">
        <v>6</v>
      </c>
      <c r="I127" s="213">
        <v>4</v>
      </c>
      <c r="J127" s="5" t="s">
        <v>16</v>
      </c>
      <c r="K127" s="28" t="s">
        <v>155</v>
      </c>
      <c r="L127" s="63"/>
      <c r="M127" s="289" t="s">
        <v>1459</v>
      </c>
      <c r="N127" s="338" t="s">
        <v>4075</v>
      </c>
      <c r="P127" s="9">
        <f>SUM(Puntenklassement!D99)</f>
        <v>2970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8" t="s">
        <v>2056</v>
      </c>
      <c r="C128" s="63"/>
      <c r="D128" s="289" t="s">
        <v>2406</v>
      </c>
      <c r="E128" s="338" t="s">
        <v>4110</v>
      </c>
      <c r="G128" s="214">
        <v>4</v>
      </c>
      <c r="H128" s="212">
        <v>3</v>
      </c>
      <c r="I128" s="213">
        <v>0</v>
      </c>
      <c r="J128" s="5" t="s">
        <v>18</v>
      </c>
      <c r="K128" s="278" t="s">
        <v>2022</v>
      </c>
      <c r="L128" s="63"/>
      <c r="M128" s="289" t="s">
        <v>1483</v>
      </c>
      <c r="N128" s="338" t="s">
        <v>4087</v>
      </c>
      <c r="P128" s="9">
        <f>SUM(Puntenklassement!D24)</f>
        <v>2954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4114</v>
      </c>
      <c r="C129" s="63"/>
      <c r="D129" s="289" t="s">
        <v>1433</v>
      </c>
      <c r="E129" s="338" t="s">
        <v>4078</v>
      </c>
      <c r="G129" s="214">
        <v>4</v>
      </c>
      <c r="H129" s="212">
        <v>2</v>
      </c>
      <c r="I129" s="213">
        <v>4</v>
      </c>
      <c r="J129" s="5" t="s">
        <v>20</v>
      </c>
      <c r="K129" s="63" t="s">
        <v>153</v>
      </c>
      <c r="L129" s="63"/>
      <c r="M129" s="289" t="s">
        <v>1441</v>
      </c>
      <c r="N129" s="338" t="s">
        <v>4083</v>
      </c>
      <c r="P129" s="9">
        <f>SUM(Puntenklassement!D19)</f>
        <v>2953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8" t="s">
        <v>2028</v>
      </c>
      <c r="C130" s="63"/>
      <c r="D130" s="289" t="s">
        <v>2403</v>
      </c>
      <c r="E130" s="338" t="s">
        <v>4103</v>
      </c>
      <c r="G130" s="214">
        <v>4</v>
      </c>
      <c r="H130" s="212">
        <v>1</v>
      </c>
      <c r="I130" s="213">
        <v>1</v>
      </c>
      <c r="J130" s="5" t="s">
        <v>22</v>
      </c>
      <c r="K130" s="28" t="s">
        <v>37</v>
      </c>
      <c r="L130" s="63"/>
      <c r="M130" s="289" t="s">
        <v>1416</v>
      </c>
      <c r="N130" s="338" t="s">
        <v>4076</v>
      </c>
      <c r="P130" s="9">
        <f>SUM(Puntenklassement!D92)</f>
        <v>2944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23</v>
      </c>
      <c r="C131" s="63"/>
      <c r="D131" s="289" t="s">
        <v>1443</v>
      </c>
      <c r="E131" s="338" t="s">
        <v>4084</v>
      </c>
      <c r="G131" s="214">
        <v>4</v>
      </c>
      <c r="H131" s="212">
        <v>1</v>
      </c>
      <c r="I131" s="213">
        <v>1</v>
      </c>
      <c r="J131" s="5" t="s">
        <v>24</v>
      </c>
      <c r="K131" s="63" t="s">
        <v>162</v>
      </c>
      <c r="L131" s="63"/>
      <c r="M131" s="289" t="s">
        <v>1432</v>
      </c>
      <c r="N131" s="338" t="s">
        <v>4081</v>
      </c>
      <c r="P131" s="9">
        <f>SUM(Puntenklassement!D40)</f>
        <v>2944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749</v>
      </c>
      <c r="C132" s="63"/>
      <c r="D132" s="289" t="s">
        <v>1421</v>
      </c>
      <c r="E132" s="338" t="s">
        <v>4074</v>
      </c>
      <c r="G132" s="214">
        <v>3</v>
      </c>
      <c r="H132" s="212">
        <v>5</v>
      </c>
      <c r="I132" s="213">
        <v>3</v>
      </c>
      <c r="J132" s="5" t="s">
        <v>26</v>
      </c>
      <c r="K132" s="219" t="s">
        <v>1657</v>
      </c>
      <c r="L132" s="63"/>
      <c r="M132" s="289" t="s">
        <v>1479</v>
      </c>
      <c r="N132" s="338" t="s">
        <v>4095</v>
      </c>
      <c r="P132" s="9">
        <f>SUM(Puntenklassement!D5)</f>
        <v>2937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19" t="s">
        <v>1656</v>
      </c>
      <c r="C133" s="63"/>
      <c r="D133" s="288" t="s">
        <v>1477</v>
      </c>
      <c r="E133" s="338" t="s">
        <v>4095</v>
      </c>
      <c r="G133" s="214">
        <v>3</v>
      </c>
      <c r="H133" s="212">
        <v>5</v>
      </c>
      <c r="I133" s="213">
        <v>0</v>
      </c>
      <c r="J133" s="5" t="s">
        <v>28</v>
      </c>
      <c r="K133" s="63" t="s">
        <v>3383</v>
      </c>
      <c r="L133" s="63"/>
      <c r="M133" s="270" t="s">
        <v>4050</v>
      </c>
      <c r="N133" s="338" t="s">
        <v>4104</v>
      </c>
      <c r="P133" s="9">
        <f>SUM(Puntenklassement!D53)</f>
        <v>2931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8" t="s">
        <v>1</v>
      </c>
      <c r="C134" s="63"/>
      <c r="D134" s="289" t="s">
        <v>1484</v>
      </c>
      <c r="E134" s="338" t="s">
        <v>4103</v>
      </c>
      <c r="G134" s="214">
        <v>3</v>
      </c>
      <c r="H134" s="212">
        <v>3</v>
      </c>
      <c r="I134" s="213">
        <v>3</v>
      </c>
      <c r="J134" s="5" t="s">
        <v>30</v>
      </c>
      <c r="K134" s="278" t="s">
        <v>31</v>
      </c>
      <c r="L134" s="63"/>
      <c r="M134" s="288" t="s">
        <v>1454</v>
      </c>
      <c r="N134" s="338" t="s">
        <v>4069</v>
      </c>
      <c r="P134" s="9">
        <f>SUM(Puntenklassement!D86)</f>
        <v>2930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778</v>
      </c>
      <c r="C135" s="63"/>
      <c r="D135" s="288" t="s">
        <v>1427</v>
      </c>
      <c r="E135" s="338" t="s">
        <v>4080</v>
      </c>
      <c r="G135" s="214">
        <v>3</v>
      </c>
      <c r="H135" s="212">
        <v>3</v>
      </c>
      <c r="I135" s="213">
        <v>3</v>
      </c>
      <c r="J135" s="5" t="s">
        <v>32</v>
      </c>
      <c r="K135" s="219" t="s">
        <v>1653</v>
      </c>
      <c r="L135" s="63"/>
      <c r="M135" s="289" t="s">
        <v>1465</v>
      </c>
      <c r="N135" s="338" t="s">
        <v>4085</v>
      </c>
      <c r="P135" s="9">
        <f>SUM(Puntenklassement!D13)</f>
        <v>2928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33</v>
      </c>
      <c r="C136" s="63"/>
      <c r="D136" s="289" t="s">
        <v>1457</v>
      </c>
      <c r="E136" s="338" t="s">
        <v>4070</v>
      </c>
      <c r="G136" s="214">
        <v>3</v>
      </c>
      <c r="H136" s="212">
        <v>3</v>
      </c>
      <c r="I136" s="213">
        <v>2</v>
      </c>
      <c r="J136" s="5" t="s">
        <v>34</v>
      </c>
      <c r="K136" s="278" t="s">
        <v>2031</v>
      </c>
      <c r="L136" s="63"/>
      <c r="M136" s="289" t="s">
        <v>1870</v>
      </c>
      <c r="N136" s="338" t="s">
        <v>4098</v>
      </c>
      <c r="P136" s="9">
        <f>SUM(Puntenklassement!D54)</f>
        <v>2924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733</v>
      </c>
      <c r="C137" s="63"/>
      <c r="D137" s="289" t="s">
        <v>1428</v>
      </c>
      <c r="E137" s="338" t="s">
        <v>4086</v>
      </c>
      <c r="G137" s="214">
        <v>3</v>
      </c>
      <c r="H137" s="212">
        <v>3</v>
      </c>
      <c r="I137" s="213">
        <v>1</v>
      </c>
      <c r="J137" s="5" t="s">
        <v>36</v>
      </c>
      <c r="K137" s="63" t="s">
        <v>4115</v>
      </c>
      <c r="L137" s="63"/>
      <c r="M137" s="289" t="s">
        <v>1452</v>
      </c>
      <c r="N137" s="338" t="s">
        <v>4068</v>
      </c>
      <c r="P137" s="9">
        <f>SUM(Puntenklassement!D49)</f>
        <v>2918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763</v>
      </c>
      <c r="C138" s="63"/>
      <c r="D138" s="289" t="s">
        <v>1468</v>
      </c>
      <c r="E138" s="338" t="s">
        <v>4087</v>
      </c>
      <c r="G138" s="214">
        <v>3</v>
      </c>
      <c r="H138" s="212">
        <v>3</v>
      </c>
      <c r="I138" s="213">
        <v>0</v>
      </c>
      <c r="J138" s="5" t="s">
        <v>38</v>
      </c>
      <c r="K138" s="278" t="s">
        <v>143</v>
      </c>
      <c r="L138" s="63"/>
      <c r="M138" s="289" t="s">
        <v>1415</v>
      </c>
      <c r="N138" s="338" t="s">
        <v>4068</v>
      </c>
      <c r="P138" s="9">
        <f>SUM(Puntenklassement!D93)</f>
        <v>2904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3379</v>
      </c>
      <c r="C139" s="63"/>
      <c r="D139" s="270" t="s">
        <v>4046</v>
      </c>
      <c r="E139" s="338" t="s">
        <v>4109</v>
      </c>
      <c r="G139" s="214">
        <v>3</v>
      </c>
      <c r="H139" s="212">
        <v>2</v>
      </c>
      <c r="I139" s="213">
        <v>1</v>
      </c>
      <c r="J139" s="5" t="s">
        <v>145</v>
      </c>
      <c r="K139" s="219" t="s">
        <v>1659</v>
      </c>
      <c r="L139" s="63"/>
      <c r="M139" s="289" t="s">
        <v>1473</v>
      </c>
      <c r="N139" s="338" t="s">
        <v>4095</v>
      </c>
      <c r="P139" s="9">
        <f>SUM(Puntenklassement!D98)</f>
        <v>2896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3384</v>
      </c>
      <c r="C140" s="63"/>
      <c r="D140" s="270" t="s">
        <v>4051</v>
      </c>
      <c r="E140" s="338" t="s">
        <v>4110</v>
      </c>
      <c r="G140" s="214">
        <v>3</v>
      </c>
      <c r="H140" s="212">
        <v>1</v>
      </c>
      <c r="I140" s="213">
        <v>0</v>
      </c>
      <c r="J140" s="5" t="s">
        <v>146</v>
      </c>
      <c r="K140" s="63" t="s">
        <v>142</v>
      </c>
      <c r="L140" s="63"/>
      <c r="M140" s="289" t="s">
        <v>1418</v>
      </c>
      <c r="N140" s="338" t="s">
        <v>4070</v>
      </c>
      <c r="P140" s="9">
        <f>SUM(Puntenklassement!D71)</f>
        <v>2886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19" t="s">
        <v>1644</v>
      </c>
      <c r="C141" s="63"/>
      <c r="D141" s="289" t="s">
        <v>1857</v>
      </c>
      <c r="E141" s="338" t="s">
        <v>4099</v>
      </c>
      <c r="F141" s="102"/>
      <c r="G141" s="214">
        <v>3</v>
      </c>
      <c r="H141" s="212">
        <v>0</v>
      </c>
      <c r="I141" s="213">
        <v>2</v>
      </c>
      <c r="J141" s="5" t="s">
        <v>147</v>
      </c>
      <c r="K141" s="219" t="s">
        <v>1654</v>
      </c>
      <c r="L141" s="63"/>
      <c r="M141" s="289" t="s">
        <v>1478</v>
      </c>
      <c r="N141" s="338" t="s">
        <v>4095</v>
      </c>
      <c r="P141" s="9">
        <f>SUM(Puntenklassement!D62)</f>
        <v>2855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19" t="s">
        <v>1647</v>
      </c>
      <c r="C142" s="63"/>
      <c r="D142" s="289" t="s">
        <v>1423</v>
      </c>
      <c r="E142" s="338" t="s">
        <v>4072</v>
      </c>
      <c r="G142" s="214">
        <v>2</v>
      </c>
      <c r="H142" s="212">
        <v>3</v>
      </c>
      <c r="I142" s="213">
        <v>3</v>
      </c>
      <c r="J142" s="5" t="s">
        <v>151</v>
      </c>
      <c r="K142" s="278" t="s">
        <v>783</v>
      </c>
      <c r="L142" s="63"/>
      <c r="M142" s="288" t="s">
        <v>1414</v>
      </c>
      <c r="N142" s="338" t="s">
        <v>4071</v>
      </c>
      <c r="P142" s="9">
        <f>SUM(Puntenklassement!D32)</f>
        <v>2854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162</v>
      </c>
      <c r="C143" s="63"/>
      <c r="D143" s="289" t="s">
        <v>1432</v>
      </c>
      <c r="E143" s="338" t="s">
        <v>4081</v>
      </c>
      <c r="G143" s="214">
        <v>2</v>
      </c>
      <c r="H143" s="212">
        <v>2</v>
      </c>
      <c r="I143" s="213">
        <v>2</v>
      </c>
      <c r="J143" s="5" t="s">
        <v>157</v>
      </c>
      <c r="K143" s="278" t="s">
        <v>2028</v>
      </c>
      <c r="L143" s="63"/>
      <c r="M143" s="289" t="s">
        <v>2403</v>
      </c>
      <c r="N143" s="338" t="s">
        <v>4103</v>
      </c>
      <c r="P143" s="9">
        <f>SUM(Puntenklassement!D20)</f>
        <v>2854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3381</v>
      </c>
      <c r="C144" s="63"/>
      <c r="D144" s="270" t="s">
        <v>4048</v>
      </c>
      <c r="E144" s="338" t="s">
        <v>4104</v>
      </c>
      <c r="G144" s="214">
        <v>2</v>
      </c>
      <c r="H144" s="212">
        <v>2</v>
      </c>
      <c r="I144" s="213">
        <v>2</v>
      </c>
      <c r="J144" s="5" t="s">
        <v>159</v>
      </c>
      <c r="K144" s="63" t="s">
        <v>25</v>
      </c>
      <c r="L144" s="63"/>
      <c r="M144" s="289" t="s">
        <v>1458</v>
      </c>
      <c r="N144" s="338" t="s">
        <v>4068</v>
      </c>
      <c r="P144" s="9">
        <f>SUM(Puntenklassement!D61)</f>
        <v>2852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19" t="s">
        <v>1652</v>
      </c>
      <c r="C145" s="63"/>
      <c r="D145" s="289" t="s">
        <v>1471</v>
      </c>
      <c r="E145" s="338" t="s">
        <v>4094</v>
      </c>
      <c r="G145" s="214">
        <v>2</v>
      </c>
      <c r="H145" s="212">
        <v>2</v>
      </c>
      <c r="I145" s="213">
        <v>1</v>
      </c>
      <c r="J145" s="5" t="s">
        <v>160</v>
      </c>
      <c r="K145" s="278" t="s">
        <v>800</v>
      </c>
      <c r="L145" s="63"/>
      <c r="M145" s="289" t="s">
        <v>1456</v>
      </c>
      <c r="N145" s="338" t="s">
        <v>4071</v>
      </c>
      <c r="P145" s="9">
        <f>SUM(Puntenklassement!D46)</f>
        <v>2816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783</v>
      </c>
      <c r="C146" s="63"/>
      <c r="D146" s="288" t="s">
        <v>1414</v>
      </c>
      <c r="E146" s="338" t="s">
        <v>4071</v>
      </c>
      <c r="G146" s="214">
        <v>2</v>
      </c>
      <c r="H146" s="212">
        <v>2</v>
      </c>
      <c r="I146" s="213">
        <v>0</v>
      </c>
      <c r="J146" s="5" t="s">
        <v>161</v>
      </c>
      <c r="K146" s="63" t="s">
        <v>3381</v>
      </c>
      <c r="L146" s="63"/>
      <c r="M146" s="270" t="s">
        <v>4048</v>
      </c>
      <c r="N146" s="338" t="s">
        <v>4104</v>
      </c>
      <c r="P146" s="9">
        <f>SUM(Puntenklassement!D41)</f>
        <v>2803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1643</v>
      </c>
      <c r="C147" s="63"/>
      <c r="D147" s="289" t="s">
        <v>1855</v>
      </c>
      <c r="E147" s="338" t="s">
        <v>4099</v>
      </c>
      <c r="G147" s="214">
        <v>2</v>
      </c>
      <c r="H147" s="212">
        <v>2</v>
      </c>
      <c r="I147" s="213">
        <v>0</v>
      </c>
      <c r="J147" s="5" t="s">
        <v>163</v>
      </c>
      <c r="K147" s="63" t="s">
        <v>3375</v>
      </c>
      <c r="L147" s="63"/>
      <c r="M147" s="270" t="s">
        <v>4042</v>
      </c>
      <c r="N147" s="338" t="s">
        <v>4106</v>
      </c>
      <c r="P147" s="9">
        <f>SUM(Puntenklassement!D9)</f>
        <v>2802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1659</v>
      </c>
      <c r="C148" s="63"/>
      <c r="D148" s="289" t="s">
        <v>1473</v>
      </c>
      <c r="E148" s="338" t="s">
        <v>4095</v>
      </c>
      <c r="G148" s="214">
        <v>2</v>
      </c>
      <c r="H148" s="212">
        <v>1</v>
      </c>
      <c r="I148" s="213">
        <v>6</v>
      </c>
      <c r="J148" s="5" t="s">
        <v>275</v>
      </c>
      <c r="K148" s="278" t="s">
        <v>4520</v>
      </c>
      <c r="L148" s="63"/>
      <c r="M148" s="289" t="s">
        <v>1866</v>
      </c>
      <c r="N148" s="338" t="s">
        <v>4102</v>
      </c>
      <c r="P148" s="9">
        <f>SUM(Puntenklassement!D47)</f>
        <v>2776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796</v>
      </c>
      <c r="C149" s="63"/>
      <c r="D149" s="289" t="s">
        <v>1442</v>
      </c>
      <c r="E149" s="338" t="s">
        <v>4080</v>
      </c>
      <c r="G149" s="214">
        <v>2</v>
      </c>
      <c r="H149" s="212">
        <v>1</v>
      </c>
      <c r="I149" s="213">
        <v>4</v>
      </c>
      <c r="J149" s="5" t="s">
        <v>276</v>
      </c>
      <c r="K149" s="63" t="s">
        <v>4118</v>
      </c>
      <c r="L149" s="63"/>
      <c r="M149" s="289" t="s">
        <v>1424</v>
      </c>
      <c r="N149" s="338" t="s">
        <v>4079</v>
      </c>
      <c r="P149" s="9">
        <f>SUM(Puntenklassement!D65)</f>
        <v>2743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78" t="s">
        <v>2030</v>
      </c>
      <c r="C150" s="63"/>
      <c r="D150" s="289" t="s">
        <v>2407</v>
      </c>
      <c r="E150" s="338" t="s">
        <v>4103</v>
      </c>
      <c r="G150" s="214">
        <v>2</v>
      </c>
      <c r="H150" s="212">
        <v>1</v>
      </c>
      <c r="I150" s="213">
        <v>2</v>
      </c>
      <c r="J150" s="5" t="s">
        <v>277</v>
      </c>
      <c r="K150" s="63" t="s">
        <v>3402</v>
      </c>
      <c r="L150" s="63"/>
      <c r="M150" s="270" t="s">
        <v>4063</v>
      </c>
      <c r="N150" s="338" t="s">
        <v>4107</v>
      </c>
      <c r="P150" s="9">
        <f>SUM(Puntenklassement!D36)</f>
        <v>2715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3403</v>
      </c>
      <c r="C151" s="63"/>
      <c r="D151" s="270" t="s">
        <v>4064</v>
      </c>
      <c r="E151" s="338" t="s">
        <v>4105</v>
      </c>
      <c r="G151" s="214">
        <v>2</v>
      </c>
      <c r="H151" s="212">
        <v>1</v>
      </c>
      <c r="I151" s="213">
        <v>1</v>
      </c>
      <c r="J151" s="5" t="s">
        <v>278</v>
      </c>
      <c r="K151" s="63" t="s">
        <v>738</v>
      </c>
      <c r="L151" s="63"/>
      <c r="M151" s="289" t="s">
        <v>1434</v>
      </c>
      <c r="N151" s="338" t="s">
        <v>4082</v>
      </c>
      <c r="P151" s="9">
        <f>SUM(Puntenklassement!D72)</f>
        <v>2710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4111</v>
      </c>
      <c r="C152" s="63"/>
      <c r="D152" s="289" t="s">
        <v>1425</v>
      </c>
      <c r="E152" s="338" t="s">
        <v>4075</v>
      </c>
      <c r="G152" s="214">
        <v>2</v>
      </c>
      <c r="H152" s="212">
        <v>1</v>
      </c>
      <c r="I152" s="213">
        <v>0</v>
      </c>
      <c r="J152" s="5" t="s">
        <v>735</v>
      </c>
      <c r="K152" s="219" t="s">
        <v>1655</v>
      </c>
      <c r="L152" s="63"/>
      <c r="M152" s="289" t="s">
        <v>1474</v>
      </c>
      <c r="N152" s="338" t="s">
        <v>4096</v>
      </c>
      <c r="P152" s="9">
        <f>SUM(Puntenklassement!D28)</f>
        <v>2710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8" t="s">
        <v>3374</v>
      </c>
      <c r="C153" s="63"/>
      <c r="D153" s="288" t="s">
        <v>3222</v>
      </c>
      <c r="E153" s="338" t="s">
        <v>4103</v>
      </c>
      <c r="G153" s="214">
        <v>2</v>
      </c>
      <c r="H153" s="212">
        <v>0</v>
      </c>
      <c r="I153" s="213">
        <v>1</v>
      </c>
      <c r="J153" s="5" t="s">
        <v>736</v>
      </c>
      <c r="K153" s="219" t="s">
        <v>1647</v>
      </c>
      <c r="L153" s="63"/>
      <c r="M153" s="289" t="s">
        <v>1423</v>
      </c>
      <c r="N153" s="338" t="s">
        <v>4072</v>
      </c>
      <c r="P153" s="9">
        <f>SUM(Puntenklassement!D8)</f>
        <v>2703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278" t="s">
        <v>2057</v>
      </c>
      <c r="C154" s="63"/>
      <c r="D154" s="289" t="s">
        <v>2404</v>
      </c>
      <c r="E154" s="338" t="s">
        <v>4103</v>
      </c>
      <c r="G154" s="214">
        <v>2</v>
      </c>
      <c r="H154" s="212">
        <v>0</v>
      </c>
      <c r="I154" s="213">
        <v>0</v>
      </c>
      <c r="J154" s="5" t="s">
        <v>737</v>
      </c>
      <c r="K154" s="63" t="s">
        <v>771</v>
      </c>
      <c r="L154" s="63"/>
      <c r="M154" s="289" t="s">
        <v>1466</v>
      </c>
      <c r="N154" s="338" t="s">
        <v>4090</v>
      </c>
      <c r="P154" s="9">
        <f>SUM(Puntenklassement!D14)</f>
        <v>2687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219" t="s">
        <v>1660</v>
      </c>
      <c r="C155" s="63"/>
      <c r="D155" s="289" t="s">
        <v>1467</v>
      </c>
      <c r="E155" s="338" t="s">
        <v>4091</v>
      </c>
      <c r="G155" s="214">
        <v>2</v>
      </c>
      <c r="H155" s="212">
        <v>0</v>
      </c>
      <c r="I155" s="213">
        <v>0</v>
      </c>
      <c r="J155" s="5" t="s">
        <v>739</v>
      </c>
      <c r="K155" s="63" t="s">
        <v>3382</v>
      </c>
      <c r="L155" s="63"/>
      <c r="M155" s="270" t="s">
        <v>4049</v>
      </c>
      <c r="N155" s="338" t="s">
        <v>4107</v>
      </c>
      <c r="P155" s="9">
        <f>SUM(Puntenklassement!D57)</f>
        <v>2674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278" t="s">
        <v>9</v>
      </c>
      <c r="C156" s="63"/>
      <c r="D156" s="288" t="s">
        <v>1463</v>
      </c>
      <c r="E156" s="338" t="s">
        <v>4084</v>
      </c>
      <c r="G156" s="214">
        <v>1</v>
      </c>
      <c r="H156" s="212">
        <v>5</v>
      </c>
      <c r="I156" s="213">
        <v>1</v>
      </c>
      <c r="J156" s="5" t="s">
        <v>745</v>
      </c>
      <c r="K156" s="278" t="s">
        <v>11</v>
      </c>
      <c r="L156" s="63"/>
      <c r="M156" s="289" t="s">
        <v>1460</v>
      </c>
      <c r="N156" s="338" t="s">
        <v>4070</v>
      </c>
      <c r="P156" s="9">
        <f>SUM(Puntenklassement!D25)</f>
        <v>2663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3393</v>
      </c>
      <c r="C157" s="63"/>
      <c r="D157" s="270" t="s">
        <v>4061</v>
      </c>
      <c r="E157" s="338" t="s">
        <v>4109</v>
      </c>
      <c r="G157" s="214">
        <v>1</v>
      </c>
      <c r="H157" s="212">
        <v>4</v>
      </c>
      <c r="I157" s="213">
        <v>3</v>
      </c>
      <c r="J157" s="5" t="s">
        <v>747</v>
      </c>
      <c r="K157" s="278" t="s">
        <v>154</v>
      </c>
      <c r="L157" s="63"/>
      <c r="M157" s="289" t="s">
        <v>1453</v>
      </c>
      <c r="N157" s="338" t="s">
        <v>4068</v>
      </c>
      <c r="P157" s="9">
        <f>SUM(Puntenklassement!D68)</f>
        <v>2660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746</v>
      </c>
      <c r="C158" s="63"/>
      <c r="D158" s="289" t="s">
        <v>1424</v>
      </c>
      <c r="E158" s="338" t="s">
        <v>4079</v>
      </c>
      <c r="G158" s="214">
        <v>1</v>
      </c>
      <c r="H158" s="212">
        <v>4</v>
      </c>
      <c r="I158" s="213">
        <v>1</v>
      </c>
      <c r="J158" s="5" t="s">
        <v>750</v>
      </c>
      <c r="K158" s="278" t="s">
        <v>2015</v>
      </c>
      <c r="L158" s="63"/>
      <c r="M158" s="289" t="s">
        <v>1859</v>
      </c>
      <c r="N158" s="338" t="s">
        <v>4100</v>
      </c>
      <c r="P158" s="9">
        <f>SUM(Puntenklassement!D30)</f>
        <v>2646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8" t="s">
        <v>143</v>
      </c>
      <c r="C159" s="63"/>
      <c r="D159" s="289" t="s">
        <v>1415</v>
      </c>
      <c r="E159" s="338" t="s">
        <v>4068</v>
      </c>
      <c r="G159" s="214">
        <v>1</v>
      </c>
      <c r="H159" s="212">
        <v>3</v>
      </c>
      <c r="I159" s="213">
        <v>2</v>
      </c>
      <c r="J159" s="5" t="s">
        <v>751</v>
      </c>
      <c r="K159" s="219" t="s">
        <v>1643</v>
      </c>
      <c r="L159" s="63"/>
      <c r="M159" s="289" t="s">
        <v>1855</v>
      </c>
      <c r="N159" s="338" t="s">
        <v>4099</v>
      </c>
      <c r="P159" s="9">
        <f>SUM(Puntenklassement!D44)</f>
        <v>2643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78" t="s">
        <v>2007</v>
      </c>
      <c r="C160" s="63"/>
      <c r="D160" s="289" t="s">
        <v>1862</v>
      </c>
      <c r="E160" s="338" t="s">
        <v>4093</v>
      </c>
      <c r="G160" s="214">
        <v>1</v>
      </c>
      <c r="H160" s="212">
        <v>3</v>
      </c>
      <c r="I160" s="213">
        <v>1</v>
      </c>
      <c r="J160" s="5" t="s">
        <v>754</v>
      </c>
      <c r="K160" s="63" t="s">
        <v>3391</v>
      </c>
      <c r="L160" s="63"/>
      <c r="M160" s="270" t="s">
        <v>4059</v>
      </c>
      <c r="N160" s="338" t="s">
        <v>4109</v>
      </c>
      <c r="P160" s="9">
        <f>SUM(Puntenklassement!D88)</f>
        <v>2632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734</v>
      </c>
      <c r="C161" s="63"/>
      <c r="D161" s="289" t="s">
        <v>1462</v>
      </c>
      <c r="E161" s="338" t="s">
        <v>4088</v>
      </c>
      <c r="G161" s="214">
        <v>1</v>
      </c>
      <c r="H161" s="212">
        <v>3</v>
      </c>
      <c r="I161" s="213">
        <v>1</v>
      </c>
      <c r="J161" s="5" t="s">
        <v>756</v>
      </c>
      <c r="K161" s="63" t="s">
        <v>778</v>
      </c>
      <c r="L161" s="63"/>
      <c r="M161" s="288" t="s">
        <v>1427</v>
      </c>
      <c r="N161" s="338" t="s">
        <v>4080</v>
      </c>
      <c r="P161" s="9">
        <f>SUM(Puntenklassement!D67)</f>
        <v>2627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142</v>
      </c>
      <c r="C162" s="63"/>
      <c r="D162" s="289" t="s">
        <v>1418</v>
      </c>
      <c r="E162" s="338" t="s">
        <v>4070</v>
      </c>
      <c r="G162" s="214">
        <v>1</v>
      </c>
      <c r="H162" s="212">
        <v>3</v>
      </c>
      <c r="I162" s="213">
        <v>1</v>
      </c>
      <c r="J162" s="5" t="s">
        <v>761</v>
      </c>
      <c r="K162" s="63" t="s">
        <v>3394</v>
      </c>
      <c r="L162" s="63"/>
      <c r="M162" s="270" t="s">
        <v>4062</v>
      </c>
      <c r="N162" s="338" t="s">
        <v>4106</v>
      </c>
      <c r="P162" s="9">
        <f>SUM(Puntenklassement!D12)</f>
        <v>2624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8" t="s">
        <v>779</v>
      </c>
      <c r="C163" s="63"/>
      <c r="D163" s="289" t="s">
        <v>1455</v>
      </c>
      <c r="E163" s="338" t="s">
        <v>4072</v>
      </c>
      <c r="G163" s="214">
        <v>1</v>
      </c>
      <c r="H163" s="212">
        <v>3</v>
      </c>
      <c r="I163" s="213">
        <v>1</v>
      </c>
      <c r="J163" s="5" t="s">
        <v>765</v>
      </c>
      <c r="K163" s="63" t="s">
        <v>3407</v>
      </c>
      <c r="L163" s="63"/>
      <c r="M163" s="270" t="s">
        <v>4058</v>
      </c>
      <c r="N163" s="338" t="s">
        <v>4104</v>
      </c>
      <c r="P163" s="9">
        <f>SUM(Puntenklassement!D85)</f>
        <v>2624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19" t="s">
        <v>1653</v>
      </c>
      <c r="C164" s="63"/>
      <c r="D164" s="289" t="s">
        <v>1465</v>
      </c>
      <c r="E164" s="338" t="s">
        <v>4085</v>
      </c>
      <c r="G164" s="214">
        <v>1</v>
      </c>
      <c r="H164" s="212">
        <v>2</v>
      </c>
      <c r="I164" s="213">
        <v>4</v>
      </c>
      <c r="J164" s="5" t="s">
        <v>766</v>
      </c>
      <c r="K164" s="278" t="s">
        <v>2161</v>
      </c>
      <c r="L164" s="63"/>
      <c r="M164" s="289" t="s">
        <v>1865</v>
      </c>
      <c r="N164" s="338" t="s">
        <v>4101</v>
      </c>
      <c r="P164" s="9">
        <f>SUM(Puntenklassement!D80)</f>
        <v>2615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278" t="s">
        <v>2012</v>
      </c>
      <c r="C165" s="63"/>
      <c r="D165" s="289" t="s">
        <v>1481</v>
      </c>
      <c r="E165" s="338" t="s">
        <v>4091</v>
      </c>
      <c r="G165" s="214">
        <v>1</v>
      </c>
      <c r="H165" s="212">
        <v>2</v>
      </c>
      <c r="I165" s="213">
        <v>3</v>
      </c>
      <c r="J165" s="5" t="s">
        <v>767</v>
      </c>
      <c r="K165" s="278" t="s">
        <v>9</v>
      </c>
      <c r="L165" s="63"/>
      <c r="M165" s="288" t="s">
        <v>1463</v>
      </c>
      <c r="N165" s="338" t="s">
        <v>4084</v>
      </c>
      <c r="P165" s="9">
        <f>SUM(Puntenklassement!D23)</f>
        <v>2611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278" t="s">
        <v>2010</v>
      </c>
      <c r="C166" s="63"/>
      <c r="D166" s="289" t="s">
        <v>1482</v>
      </c>
      <c r="E166" s="338" t="s">
        <v>4080</v>
      </c>
      <c r="G166" s="214">
        <v>1</v>
      </c>
      <c r="H166" s="212">
        <v>2</v>
      </c>
      <c r="I166" s="213">
        <v>2</v>
      </c>
      <c r="J166" s="5" t="s">
        <v>773</v>
      </c>
      <c r="K166" s="63" t="s">
        <v>3406</v>
      </c>
      <c r="L166" s="63"/>
      <c r="M166" s="270" t="s">
        <v>4066</v>
      </c>
      <c r="N166" s="338" t="s">
        <v>4104</v>
      </c>
      <c r="P166" s="9">
        <f>SUM(Puntenklassement!D42)</f>
        <v>2609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762</v>
      </c>
      <c r="C167" s="63"/>
      <c r="D167" s="289" t="s">
        <v>1422</v>
      </c>
      <c r="E167" s="338" t="s">
        <v>4075</v>
      </c>
      <c r="G167" s="214">
        <v>1</v>
      </c>
      <c r="H167" s="212">
        <v>2</v>
      </c>
      <c r="I167" s="213">
        <v>2</v>
      </c>
      <c r="J167" s="5" t="s">
        <v>781</v>
      </c>
      <c r="K167" s="278" t="s">
        <v>23</v>
      </c>
      <c r="L167" s="63"/>
      <c r="M167" s="289" t="s">
        <v>1443</v>
      </c>
      <c r="N167" s="338" t="s">
        <v>4084</v>
      </c>
      <c r="P167" s="9">
        <f>SUM(Puntenklassement!D60)</f>
        <v>2602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63" t="s">
        <v>3382</v>
      </c>
      <c r="C168" s="63"/>
      <c r="D168" s="270" t="s">
        <v>4049</v>
      </c>
      <c r="E168" s="338" t="s">
        <v>4107</v>
      </c>
      <c r="G168" s="214">
        <v>1</v>
      </c>
      <c r="H168" s="212">
        <v>2</v>
      </c>
      <c r="I168" s="213">
        <v>2</v>
      </c>
      <c r="J168" s="5" t="s">
        <v>785</v>
      </c>
      <c r="K168" s="63" t="s">
        <v>757</v>
      </c>
      <c r="L168" s="63"/>
      <c r="M168" s="289" t="s">
        <v>1461</v>
      </c>
      <c r="N168" s="338" t="s">
        <v>4084</v>
      </c>
      <c r="P168" s="9">
        <f>SUM(Puntenklassement!D39)</f>
        <v>2593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8" t="s">
        <v>2161</v>
      </c>
      <c r="C169" s="63"/>
      <c r="D169" s="289" t="s">
        <v>1865</v>
      </c>
      <c r="E169" s="338" t="s">
        <v>4101</v>
      </c>
      <c r="G169" s="214">
        <v>1</v>
      </c>
      <c r="H169" s="212">
        <v>2</v>
      </c>
      <c r="I169" s="213">
        <v>2</v>
      </c>
      <c r="J169" s="5" t="s">
        <v>786</v>
      </c>
      <c r="K169" s="63" t="s">
        <v>3387</v>
      </c>
      <c r="L169" s="63"/>
      <c r="M169" s="270" t="s">
        <v>4054</v>
      </c>
      <c r="N169" s="338" t="s">
        <v>4104</v>
      </c>
      <c r="P169" s="9">
        <f>SUM(Puntenklassement!D31)</f>
        <v>2592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8" t="s">
        <v>4113</v>
      </c>
      <c r="C170" s="63"/>
      <c r="D170" s="288" t="s">
        <v>1464</v>
      </c>
      <c r="E170" s="338" t="s">
        <v>4089</v>
      </c>
      <c r="G170" s="214">
        <v>1</v>
      </c>
      <c r="H170" s="212">
        <v>2</v>
      </c>
      <c r="I170" s="213">
        <v>1</v>
      </c>
      <c r="J170" s="5" t="s">
        <v>787</v>
      </c>
      <c r="K170" s="278" t="s">
        <v>3373</v>
      </c>
      <c r="L170" s="63"/>
      <c r="M170" s="288" t="s">
        <v>2156</v>
      </c>
      <c r="N170" s="338" t="s">
        <v>4105</v>
      </c>
      <c r="P170" s="9">
        <f>SUM(Puntenklassement!D51)</f>
        <v>2568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3390</v>
      </c>
      <c r="C171" s="63"/>
      <c r="D171" s="270" t="s">
        <v>4057</v>
      </c>
      <c r="E171" s="338" t="s">
        <v>4104</v>
      </c>
      <c r="G171" s="214">
        <v>1</v>
      </c>
      <c r="H171" s="212">
        <v>2</v>
      </c>
      <c r="I171" s="213">
        <v>1</v>
      </c>
      <c r="J171" s="5" t="s">
        <v>793</v>
      </c>
      <c r="K171" s="278" t="s">
        <v>17</v>
      </c>
      <c r="L171" s="63"/>
      <c r="M171" s="289" t="s">
        <v>1417</v>
      </c>
      <c r="N171" s="338" t="s">
        <v>4077</v>
      </c>
      <c r="P171" s="9">
        <f>SUM(Puntenklassement!D38)</f>
        <v>2564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63" t="s">
        <v>748</v>
      </c>
      <c r="C172" s="63"/>
      <c r="D172" s="289" t="s">
        <v>1426</v>
      </c>
      <c r="E172" s="338" t="s">
        <v>4073</v>
      </c>
      <c r="G172" s="214">
        <v>1</v>
      </c>
      <c r="H172" s="212">
        <v>2</v>
      </c>
      <c r="I172" s="213">
        <v>1</v>
      </c>
      <c r="J172" s="5" t="s">
        <v>794</v>
      </c>
      <c r="K172" s="63" t="s">
        <v>3393</v>
      </c>
      <c r="L172" s="63"/>
      <c r="M172" s="270" t="s">
        <v>4061</v>
      </c>
      <c r="N172" s="338" t="s">
        <v>4109</v>
      </c>
      <c r="P172" s="9">
        <f>SUM(Puntenklassement!D22)</f>
        <v>2555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8" t="s">
        <v>37</v>
      </c>
      <c r="C173" s="63"/>
      <c r="D173" s="289" t="s">
        <v>1416</v>
      </c>
      <c r="E173" s="338" t="s">
        <v>4076</v>
      </c>
      <c r="G173" s="214">
        <v>1</v>
      </c>
      <c r="H173" s="212">
        <v>2</v>
      </c>
      <c r="I173" s="213">
        <v>1</v>
      </c>
      <c r="J173" s="5" t="s">
        <v>795</v>
      </c>
      <c r="K173" s="63" t="s">
        <v>3378</v>
      </c>
      <c r="L173" s="63"/>
      <c r="M173" s="270" t="s">
        <v>4045</v>
      </c>
      <c r="N173" s="338" t="s">
        <v>4106</v>
      </c>
      <c r="P173" s="9">
        <f>SUM(Puntenklassement!D64)</f>
        <v>2518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3380</v>
      </c>
      <c r="C174" s="63"/>
      <c r="D174" s="270" t="s">
        <v>4047</v>
      </c>
      <c r="E174" s="338" t="s">
        <v>4104</v>
      </c>
      <c r="G174" s="214">
        <v>1</v>
      </c>
      <c r="H174" s="212">
        <v>2</v>
      </c>
      <c r="I174" s="213">
        <v>0</v>
      </c>
      <c r="J174" s="5" t="s">
        <v>797</v>
      </c>
      <c r="K174" s="278" t="s">
        <v>2027</v>
      </c>
      <c r="L174" s="63"/>
      <c r="M174" s="289" t="s">
        <v>1867</v>
      </c>
      <c r="N174" s="338" t="s">
        <v>4102</v>
      </c>
      <c r="O174" s="102"/>
      <c r="P174" s="9">
        <f>SUM(Puntenklassement!D11)</f>
        <v>2505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782</v>
      </c>
      <c r="C175" s="63"/>
      <c r="D175" s="288" t="s">
        <v>1476</v>
      </c>
      <c r="E175" s="338" t="s">
        <v>4097</v>
      </c>
      <c r="G175" s="214">
        <v>1</v>
      </c>
      <c r="H175" s="212">
        <v>2</v>
      </c>
      <c r="I175" s="213">
        <v>0</v>
      </c>
      <c r="J175" s="5" t="s">
        <v>798</v>
      </c>
      <c r="K175" s="63" t="s">
        <v>728</v>
      </c>
      <c r="L175" s="63"/>
      <c r="M175" s="289" t="s">
        <v>1486</v>
      </c>
      <c r="N175" s="338" t="s">
        <v>4093</v>
      </c>
      <c r="P175" s="9">
        <f>SUM(Puntenklassement!D29)</f>
        <v>2492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753</v>
      </c>
      <c r="C176" s="63"/>
      <c r="D176" s="289" t="s">
        <v>1420</v>
      </c>
      <c r="E176" s="338" t="s">
        <v>4078</v>
      </c>
      <c r="G176" s="214">
        <v>1</v>
      </c>
      <c r="H176" s="212">
        <v>2</v>
      </c>
      <c r="I176" s="213">
        <v>0</v>
      </c>
      <c r="J176" s="5" t="s">
        <v>799</v>
      </c>
      <c r="K176" s="63" t="s">
        <v>764</v>
      </c>
      <c r="L176" s="63"/>
      <c r="M176" s="288" t="s">
        <v>1440</v>
      </c>
      <c r="N176" s="338" t="s">
        <v>4087</v>
      </c>
      <c r="P176" s="9">
        <f>SUM(Puntenklassement!D70)</f>
        <v>2488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8" t="s">
        <v>800</v>
      </c>
      <c r="C177" s="63"/>
      <c r="D177" s="289" t="s">
        <v>1456</v>
      </c>
      <c r="E177" s="338" t="s">
        <v>4071</v>
      </c>
      <c r="G177" s="214">
        <v>1</v>
      </c>
      <c r="H177" s="212">
        <v>1</v>
      </c>
      <c r="I177" s="213">
        <v>5</v>
      </c>
      <c r="J177" s="5" t="s">
        <v>802</v>
      </c>
      <c r="K177" s="63" t="s">
        <v>748</v>
      </c>
      <c r="L177" s="63"/>
      <c r="M177" s="289" t="s">
        <v>1426</v>
      </c>
      <c r="N177" s="338" t="s">
        <v>4073</v>
      </c>
      <c r="P177" s="9">
        <f>SUM(Puntenklassement!D78)</f>
        <v>2483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78" t="s">
        <v>2054</v>
      </c>
      <c r="C178" s="63"/>
      <c r="D178" s="289" t="s">
        <v>2402</v>
      </c>
      <c r="E178" s="338" t="s">
        <v>4110</v>
      </c>
      <c r="G178" s="214">
        <v>1</v>
      </c>
      <c r="H178" s="212">
        <v>1</v>
      </c>
      <c r="I178" s="213">
        <v>3</v>
      </c>
      <c r="J178" s="5" t="s">
        <v>896</v>
      </c>
      <c r="K178" s="278" t="s">
        <v>3374</v>
      </c>
      <c r="L178" s="63"/>
      <c r="M178" s="288" t="s">
        <v>3222</v>
      </c>
      <c r="N178" s="338" t="s">
        <v>4103</v>
      </c>
      <c r="P178" s="9">
        <f>SUM(Puntenklassement!D101)</f>
        <v>2478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3385</v>
      </c>
      <c r="C179" s="63"/>
      <c r="D179" s="270" t="s">
        <v>4052</v>
      </c>
      <c r="E179" s="338" t="s">
        <v>4110</v>
      </c>
      <c r="G179" s="214">
        <v>1</v>
      </c>
      <c r="H179" s="212">
        <v>1</v>
      </c>
      <c r="I179" s="213">
        <v>3</v>
      </c>
      <c r="J179" s="5" t="s">
        <v>897</v>
      </c>
      <c r="K179" s="219" t="s">
        <v>1652</v>
      </c>
      <c r="L179" s="63"/>
      <c r="M179" s="289" t="s">
        <v>1471</v>
      </c>
      <c r="N179" s="338" t="s">
        <v>4094</v>
      </c>
      <c r="P179" s="9">
        <f>SUM(Puntenklassement!D7)</f>
        <v>2477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8" t="s">
        <v>2029</v>
      </c>
      <c r="C180" s="63"/>
      <c r="D180" s="289" t="s">
        <v>1871</v>
      </c>
      <c r="E180" s="338" t="s">
        <v>4107</v>
      </c>
      <c r="G180" s="214">
        <v>1</v>
      </c>
      <c r="H180" s="212">
        <v>1</v>
      </c>
      <c r="I180" s="213">
        <v>2</v>
      </c>
      <c r="J180" s="5" t="s">
        <v>898</v>
      </c>
      <c r="K180" s="63" t="s">
        <v>733</v>
      </c>
      <c r="L180" s="63"/>
      <c r="M180" s="289" t="s">
        <v>1428</v>
      </c>
      <c r="N180" s="338" t="s">
        <v>4086</v>
      </c>
      <c r="O180" s="63"/>
      <c r="P180" s="9">
        <f>SUM(Puntenklassement!D82)</f>
        <v>2473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3407</v>
      </c>
      <c r="C181" s="63"/>
      <c r="D181" s="270" t="s">
        <v>4058</v>
      </c>
      <c r="E181" s="338" t="s">
        <v>4104</v>
      </c>
      <c r="G181" s="214">
        <v>1</v>
      </c>
      <c r="H181" s="212">
        <v>1</v>
      </c>
      <c r="I181" s="213">
        <v>2</v>
      </c>
      <c r="J181" s="5" t="s">
        <v>899</v>
      </c>
      <c r="K181" s="63" t="s">
        <v>3380</v>
      </c>
      <c r="L181" s="63"/>
      <c r="M181" s="270" t="s">
        <v>4047</v>
      </c>
      <c r="N181" s="338" t="s">
        <v>4104</v>
      </c>
      <c r="P181" s="9">
        <f>SUM(Puntenklassement!D45)</f>
        <v>2456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8" t="s">
        <v>2014</v>
      </c>
      <c r="C182" s="63"/>
      <c r="D182" s="289" t="s">
        <v>1858</v>
      </c>
      <c r="E182" s="338" t="s">
        <v>4099</v>
      </c>
      <c r="G182" s="214">
        <v>1</v>
      </c>
      <c r="H182" s="212">
        <v>1</v>
      </c>
      <c r="I182" s="213">
        <v>1</v>
      </c>
      <c r="J182" s="5" t="s">
        <v>900</v>
      </c>
      <c r="K182" s="278" t="s">
        <v>3462</v>
      </c>
      <c r="L182" s="63"/>
      <c r="M182" s="289" t="s">
        <v>1430</v>
      </c>
      <c r="N182" s="338" t="s">
        <v>4081</v>
      </c>
      <c r="P182" s="9">
        <f>SUM(Puntenklassement!D35)</f>
        <v>2446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3376</v>
      </c>
      <c r="C183" s="63"/>
      <c r="D183" s="270" t="s">
        <v>4043</v>
      </c>
      <c r="E183" s="338" t="s">
        <v>4106</v>
      </c>
      <c r="G183" s="214">
        <v>1</v>
      </c>
      <c r="H183" s="212">
        <v>1</v>
      </c>
      <c r="I183" s="213">
        <v>1</v>
      </c>
      <c r="J183" s="5" t="s">
        <v>901</v>
      </c>
      <c r="K183" s="63" t="s">
        <v>763</v>
      </c>
      <c r="L183" s="63"/>
      <c r="M183" s="289" t="s">
        <v>1468</v>
      </c>
      <c r="N183" s="338" t="s">
        <v>4087</v>
      </c>
      <c r="P183" s="9">
        <f>SUM(Puntenklassement!D59)</f>
        <v>2445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757</v>
      </c>
      <c r="C184" s="63"/>
      <c r="D184" s="289" t="s">
        <v>1461</v>
      </c>
      <c r="E184" s="338" t="s">
        <v>4084</v>
      </c>
      <c r="G184" s="214">
        <v>1</v>
      </c>
      <c r="H184" s="212">
        <v>1</v>
      </c>
      <c r="I184" s="213">
        <v>1</v>
      </c>
      <c r="J184" s="5" t="s">
        <v>902</v>
      </c>
      <c r="K184" s="278" t="s">
        <v>2006</v>
      </c>
      <c r="L184" s="63"/>
      <c r="M184" s="289" t="s">
        <v>1485</v>
      </c>
      <c r="N184" s="338" t="s">
        <v>4098</v>
      </c>
      <c r="P184" s="9">
        <f>SUM(Puntenklassement!D84)</f>
        <v>2441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3378</v>
      </c>
      <c r="C185" s="63"/>
      <c r="D185" s="270" t="s">
        <v>4045</v>
      </c>
      <c r="E185" s="338" t="s">
        <v>4106</v>
      </c>
      <c r="G185" s="214">
        <v>1</v>
      </c>
      <c r="H185" s="212">
        <v>1</v>
      </c>
      <c r="I185" s="213">
        <v>1</v>
      </c>
      <c r="J185" s="5" t="s">
        <v>903</v>
      </c>
      <c r="K185" s="63" t="s">
        <v>4117</v>
      </c>
      <c r="L185" s="63"/>
      <c r="M185" s="289" t="s">
        <v>1425</v>
      </c>
      <c r="N185" s="338" t="s">
        <v>4075</v>
      </c>
      <c r="P185" s="9">
        <f>SUM(Puntenklassement!D50)</f>
        <v>2421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3375</v>
      </c>
      <c r="C186" s="63"/>
      <c r="D186" s="270" t="s">
        <v>4042</v>
      </c>
      <c r="E186" s="338" t="s">
        <v>4106</v>
      </c>
      <c r="G186" s="214">
        <v>1</v>
      </c>
      <c r="H186" s="212">
        <v>0</v>
      </c>
      <c r="I186" s="213">
        <v>2</v>
      </c>
      <c r="J186" s="5" t="s">
        <v>904</v>
      </c>
      <c r="K186" s="63" t="s">
        <v>734</v>
      </c>
      <c r="L186" s="63"/>
      <c r="M186" s="289" t="s">
        <v>1462</v>
      </c>
      <c r="N186" s="338" t="s">
        <v>4088</v>
      </c>
      <c r="P186" s="9">
        <f>SUM(Puntenklassement!D34)</f>
        <v>2402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3394</v>
      </c>
      <c r="C187" s="63"/>
      <c r="D187" s="270" t="s">
        <v>4062</v>
      </c>
      <c r="E187" s="338" t="s">
        <v>4106</v>
      </c>
      <c r="G187" s="214">
        <v>1</v>
      </c>
      <c r="H187" s="212">
        <v>0</v>
      </c>
      <c r="I187" s="213">
        <v>2</v>
      </c>
      <c r="J187" s="5" t="s">
        <v>905</v>
      </c>
      <c r="K187" s="63" t="s">
        <v>3384</v>
      </c>
      <c r="L187" s="63"/>
      <c r="M187" s="270" t="s">
        <v>4051</v>
      </c>
      <c r="N187" s="338" t="s">
        <v>4110</v>
      </c>
      <c r="P187" s="9">
        <f>SUM(Puntenklassement!D43)</f>
        <v>2392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8" t="s">
        <v>13</v>
      </c>
      <c r="C188" s="63"/>
      <c r="D188" s="288" t="s">
        <v>1469</v>
      </c>
      <c r="E188" s="338" t="s">
        <v>4092</v>
      </c>
      <c r="G188" s="214">
        <v>1</v>
      </c>
      <c r="H188" s="212">
        <v>0</v>
      </c>
      <c r="I188" s="213">
        <v>2</v>
      </c>
      <c r="J188" s="5" t="s">
        <v>906</v>
      </c>
      <c r="K188" s="63" t="s">
        <v>755</v>
      </c>
      <c r="L188" s="63"/>
      <c r="M188" s="289" t="s">
        <v>1472</v>
      </c>
      <c r="N188" s="338" t="s">
        <v>4092</v>
      </c>
      <c r="P188" s="9">
        <f>SUM(Puntenklassement!D89)</f>
        <v>2368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8" t="s">
        <v>2353</v>
      </c>
      <c r="C189" s="63"/>
      <c r="D189" s="289" t="s">
        <v>1430</v>
      </c>
      <c r="E189" s="338" t="s">
        <v>4081</v>
      </c>
      <c r="G189" s="214">
        <v>1</v>
      </c>
      <c r="H189" s="212">
        <v>0</v>
      </c>
      <c r="I189" s="213">
        <v>2</v>
      </c>
      <c r="J189" s="5" t="s">
        <v>907</v>
      </c>
      <c r="K189" s="63" t="s">
        <v>180</v>
      </c>
      <c r="L189" s="63"/>
      <c r="M189" s="270" t="s">
        <v>4060</v>
      </c>
      <c r="N189" s="338" t="s">
        <v>4105</v>
      </c>
      <c r="P189" s="9">
        <f>SUM(Puntenklassement!D96)</f>
        <v>2356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278" t="s">
        <v>4520</v>
      </c>
      <c r="C190" s="63"/>
      <c r="D190" s="289" t="s">
        <v>1866</v>
      </c>
      <c r="E190" s="338" t="s">
        <v>4102</v>
      </c>
      <c r="G190" s="214">
        <v>1</v>
      </c>
      <c r="H190" s="212">
        <v>0</v>
      </c>
      <c r="I190" s="213">
        <v>2</v>
      </c>
      <c r="J190" s="5" t="s">
        <v>908</v>
      </c>
      <c r="K190" s="219" t="s">
        <v>1660</v>
      </c>
      <c r="L190" s="63"/>
      <c r="M190" s="289" t="s">
        <v>1467</v>
      </c>
      <c r="N190" s="338" t="s">
        <v>4091</v>
      </c>
      <c r="P190" s="9">
        <f>SUM(Puntenklassement!D73)</f>
        <v>2350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3" t="s">
        <v>764</v>
      </c>
      <c r="C191" s="63"/>
      <c r="D191" s="288" t="s">
        <v>1440</v>
      </c>
      <c r="E191" s="338" t="s">
        <v>4087</v>
      </c>
      <c r="G191" s="214">
        <v>0</v>
      </c>
      <c r="H191" s="212">
        <v>5</v>
      </c>
      <c r="I191" s="213">
        <v>4</v>
      </c>
      <c r="J191" s="5" t="s">
        <v>909</v>
      </c>
      <c r="K191" s="63" t="s">
        <v>796</v>
      </c>
      <c r="L191" s="63"/>
      <c r="M191" s="289" t="s">
        <v>1442</v>
      </c>
      <c r="N191" s="338" t="s">
        <v>4080</v>
      </c>
      <c r="P191" s="9">
        <f>SUM(Puntenklassement!D48)</f>
        <v>2338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278" t="s">
        <v>31</v>
      </c>
      <c r="C192" s="63"/>
      <c r="D192" s="288" t="s">
        <v>1454</v>
      </c>
      <c r="E192" s="338" t="s">
        <v>4069</v>
      </c>
      <c r="G192" s="214">
        <v>0</v>
      </c>
      <c r="H192" s="212">
        <v>5</v>
      </c>
      <c r="I192" s="213">
        <v>1</v>
      </c>
      <c r="J192" s="5" t="s">
        <v>910</v>
      </c>
      <c r="K192" s="278" t="s">
        <v>2057</v>
      </c>
      <c r="L192" s="63"/>
      <c r="M192" s="289" t="s">
        <v>2404</v>
      </c>
      <c r="N192" s="338" t="s">
        <v>4103</v>
      </c>
      <c r="P192" s="9">
        <f>SUM(Puntenklassement!D15)</f>
        <v>2278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728</v>
      </c>
      <c r="C193" s="63"/>
      <c r="D193" s="289" t="s">
        <v>1486</v>
      </c>
      <c r="E193" s="338" t="s">
        <v>4093</v>
      </c>
      <c r="G193" s="214">
        <v>0</v>
      </c>
      <c r="H193" s="212">
        <v>3</v>
      </c>
      <c r="I193" s="213">
        <v>0</v>
      </c>
      <c r="J193" s="5" t="s">
        <v>911</v>
      </c>
      <c r="K193" s="63" t="s">
        <v>3388</v>
      </c>
      <c r="L193" s="63"/>
      <c r="M193" s="270" t="s">
        <v>4055</v>
      </c>
      <c r="N193" s="338" t="s">
        <v>4106</v>
      </c>
      <c r="P193" s="9">
        <f>SUM(Puntenklassement!D83)</f>
        <v>2236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2015</v>
      </c>
      <c r="C194" s="63"/>
      <c r="D194" s="289" t="s">
        <v>1859</v>
      </c>
      <c r="E194" s="338" t="s">
        <v>4100</v>
      </c>
      <c r="G194" s="214">
        <v>0</v>
      </c>
      <c r="H194" s="212">
        <v>2</v>
      </c>
      <c r="I194" s="213">
        <v>4</v>
      </c>
      <c r="J194" s="5" t="s">
        <v>912</v>
      </c>
      <c r="K194" s="278" t="s">
        <v>779</v>
      </c>
      <c r="L194" s="63"/>
      <c r="M194" s="289" t="s">
        <v>1455</v>
      </c>
      <c r="N194" s="338" t="s">
        <v>4072</v>
      </c>
      <c r="P194" s="9">
        <f>SUM(Puntenklassement!D75)</f>
        <v>2231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278" t="s">
        <v>11</v>
      </c>
      <c r="C195" s="63"/>
      <c r="D195" s="289" t="s">
        <v>1460</v>
      </c>
      <c r="E195" s="338" t="s">
        <v>4070</v>
      </c>
      <c r="G195" s="214">
        <v>0</v>
      </c>
      <c r="H195" s="212">
        <v>2</v>
      </c>
      <c r="I195" s="213">
        <v>2</v>
      </c>
      <c r="J195" s="5" t="s">
        <v>913</v>
      </c>
      <c r="K195" s="63" t="s">
        <v>753</v>
      </c>
      <c r="L195" s="63"/>
      <c r="M195" s="289" t="s">
        <v>1420</v>
      </c>
      <c r="N195" s="338" t="s">
        <v>4078</v>
      </c>
      <c r="P195" s="9">
        <f>SUM(Puntenklassement!D100)</f>
        <v>2220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278" t="s">
        <v>154</v>
      </c>
      <c r="C196" s="63"/>
      <c r="D196" s="289" t="s">
        <v>1453</v>
      </c>
      <c r="E196" s="338" t="s">
        <v>4068</v>
      </c>
      <c r="G196" s="214">
        <v>0</v>
      </c>
      <c r="H196" s="212">
        <v>2</v>
      </c>
      <c r="I196" s="213">
        <v>2</v>
      </c>
      <c r="J196" s="5" t="s">
        <v>914</v>
      </c>
      <c r="K196" s="63" t="s">
        <v>3386</v>
      </c>
      <c r="L196" s="63"/>
      <c r="M196" s="270" t="s">
        <v>4053</v>
      </c>
      <c r="N196" s="338" t="s">
        <v>4110</v>
      </c>
      <c r="P196" s="9">
        <f>SUM(Puntenklassement!D3)</f>
        <v>2219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8" t="s">
        <v>2034</v>
      </c>
      <c r="C197" s="63"/>
      <c r="D197" s="289" t="s">
        <v>1872</v>
      </c>
      <c r="E197" s="338" t="s">
        <v>4107</v>
      </c>
      <c r="G197" s="214">
        <v>0</v>
      </c>
      <c r="H197" s="212">
        <v>2</v>
      </c>
      <c r="I197" s="213">
        <v>1</v>
      </c>
      <c r="J197" s="5" t="s">
        <v>915</v>
      </c>
      <c r="K197" s="63" t="s">
        <v>3379</v>
      </c>
      <c r="L197" s="63"/>
      <c r="M197" s="270" t="s">
        <v>4046</v>
      </c>
      <c r="N197" s="338" t="s">
        <v>4109</v>
      </c>
      <c r="P197" s="9">
        <f>SUM(Puntenklassement!D21)</f>
        <v>2202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771</v>
      </c>
      <c r="C198" s="63"/>
      <c r="D198" s="289" t="s">
        <v>1466</v>
      </c>
      <c r="E198" s="338" t="s">
        <v>4090</v>
      </c>
      <c r="G198" s="214">
        <v>0</v>
      </c>
      <c r="H198" s="212">
        <v>1</v>
      </c>
      <c r="I198" s="213">
        <v>6</v>
      </c>
      <c r="J198" s="5" t="s">
        <v>916</v>
      </c>
      <c r="K198" s="278" t="s">
        <v>2011</v>
      </c>
      <c r="L198" s="63"/>
      <c r="M198" s="288" t="s">
        <v>1860</v>
      </c>
      <c r="N198" s="338" t="s">
        <v>4095</v>
      </c>
      <c r="P198" s="9">
        <f>SUM(Puntenklassement!D37)</f>
        <v>2200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3387</v>
      </c>
      <c r="C199" s="63"/>
      <c r="D199" s="270" t="s">
        <v>4054</v>
      </c>
      <c r="E199" s="338" t="s">
        <v>4104</v>
      </c>
      <c r="G199" s="214">
        <v>0</v>
      </c>
      <c r="H199" s="212">
        <v>1</v>
      </c>
      <c r="I199" s="213">
        <v>5</v>
      </c>
      <c r="J199" s="5" t="s">
        <v>917</v>
      </c>
      <c r="K199" s="278" t="s">
        <v>2029</v>
      </c>
      <c r="L199" s="63"/>
      <c r="M199" s="289" t="s">
        <v>1871</v>
      </c>
      <c r="N199" s="338" t="s">
        <v>4107</v>
      </c>
      <c r="P199" s="9">
        <f>SUM(Puntenklassement!D27)</f>
        <v>2176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3405</v>
      </c>
      <c r="C200" s="63"/>
      <c r="D200" s="270" t="s">
        <v>4065</v>
      </c>
      <c r="E200" s="338" t="s">
        <v>4108</v>
      </c>
      <c r="G200" s="214">
        <v>0</v>
      </c>
      <c r="H200" s="212">
        <v>1</v>
      </c>
      <c r="I200" s="213">
        <v>2</v>
      </c>
      <c r="J200" s="5" t="s">
        <v>918</v>
      </c>
      <c r="K200" s="63" t="s">
        <v>3405</v>
      </c>
      <c r="L200" s="63"/>
      <c r="M200" s="270" t="s">
        <v>4065</v>
      </c>
      <c r="N200" s="338" t="s">
        <v>4108</v>
      </c>
      <c r="P200" s="9">
        <f>SUM(Puntenklassement!D74)</f>
        <v>2175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8" t="s">
        <v>2027</v>
      </c>
      <c r="C201" s="63"/>
      <c r="D201" s="289" t="s">
        <v>1867</v>
      </c>
      <c r="E201" s="338" t="s">
        <v>4102</v>
      </c>
      <c r="G201" s="214">
        <v>0</v>
      </c>
      <c r="H201" s="212">
        <v>1</v>
      </c>
      <c r="I201" s="213">
        <v>1</v>
      </c>
      <c r="J201" s="5" t="s">
        <v>919</v>
      </c>
      <c r="K201" s="63" t="s">
        <v>3385</v>
      </c>
      <c r="L201" s="63"/>
      <c r="M201" s="270" t="s">
        <v>4052</v>
      </c>
      <c r="N201" s="338" t="s">
        <v>4110</v>
      </c>
      <c r="P201" s="9">
        <f>SUM(Puntenklassement!D81)</f>
        <v>2170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738</v>
      </c>
      <c r="C202" s="63"/>
      <c r="D202" s="289" t="s">
        <v>1434</v>
      </c>
      <c r="E202" s="338" t="s">
        <v>4082</v>
      </c>
      <c r="F202" s="63"/>
      <c r="G202" s="214">
        <v>0</v>
      </c>
      <c r="H202" s="212">
        <v>1</v>
      </c>
      <c r="I202" s="213">
        <v>1</v>
      </c>
      <c r="J202" s="5" t="s">
        <v>920</v>
      </c>
      <c r="K202" s="63" t="s">
        <v>3377</v>
      </c>
      <c r="L202" s="63"/>
      <c r="M202" s="270" t="s">
        <v>4044</v>
      </c>
      <c r="N202" s="338" t="s">
        <v>4107</v>
      </c>
      <c r="P202" s="9">
        <f>SUM(Puntenklassement!D26)</f>
        <v>2149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755</v>
      </c>
      <c r="C203" s="63"/>
      <c r="D203" s="289" t="s">
        <v>1472</v>
      </c>
      <c r="E203" s="338" t="s">
        <v>4092</v>
      </c>
      <c r="G203" s="214">
        <v>0</v>
      </c>
      <c r="H203" s="212">
        <v>1</v>
      </c>
      <c r="I203" s="213">
        <v>1</v>
      </c>
      <c r="J203" s="5" t="s">
        <v>921</v>
      </c>
      <c r="K203" s="278" t="s">
        <v>2014</v>
      </c>
      <c r="L203" s="63"/>
      <c r="M203" s="289" t="s">
        <v>1858</v>
      </c>
      <c r="N203" s="338" t="s">
        <v>4099</v>
      </c>
      <c r="P203" s="9">
        <f>SUM(Puntenklassement!D4)</f>
        <v>2141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180</v>
      </c>
      <c r="C204" s="63"/>
      <c r="D204" s="270" t="s">
        <v>4060</v>
      </c>
      <c r="E204" s="338" t="s">
        <v>4105</v>
      </c>
      <c r="G204" s="214">
        <v>0</v>
      </c>
      <c r="H204" s="212">
        <v>1</v>
      </c>
      <c r="I204" s="213">
        <v>1</v>
      </c>
      <c r="J204" s="5" t="s">
        <v>922</v>
      </c>
      <c r="K204" s="63" t="s">
        <v>3389</v>
      </c>
      <c r="L204" s="63"/>
      <c r="M204" s="270" t="s">
        <v>4056</v>
      </c>
      <c r="N204" s="338" t="s">
        <v>4108</v>
      </c>
      <c r="P204" s="9">
        <f>SUM(Puntenklassement!D58)</f>
        <v>2138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3386</v>
      </c>
      <c r="C205" s="63"/>
      <c r="D205" s="270" t="s">
        <v>4053</v>
      </c>
      <c r="E205" s="338" t="s">
        <v>4110</v>
      </c>
      <c r="G205" s="214">
        <v>0</v>
      </c>
      <c r="H205" s="212">
        <v>1</v>
      </c>
      <c r="I205" s="213">
        <v>0</v>
      </c>
      <c r="J205" s="5" t="s">
        <v>923</v>
      </c>
      <c r="K205" s="63" t="s">
        <v>3403</v>
      </c>
      <c r="L205" s="63"/>
      <c r="M205" s="270" t="s">
        <v>4064</v>
      </c>
      <c r="N205" s="338" t="s">
        <v>4105</v>
      </c>
      <c r="P205" s="9">
        <f>SUM(Puntenklassement!D97)</f>
        <v>2131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3406</v>
      </c>
      <c r="C206" s="63"/>
      <c r="D206" s="270" t="s">
        <v>4066</v>
      </c>
      <c r="E206" s="338" t="s">
        <v>4104</v>
      </c>
      <c r="G206" s="214">
        <v>0</v>
      </c>
      <c r="H206" s="212">
        <v>1</v>
      </c>
      <c r="I206" s="213">
        <v>0</v>
      </c>
      <c r="J206" s="5" t="s">
        <v>924</v>
      </c>
      <c r="K206" s="278" t="s">
        <v>2054</v>
      </c>
      <c r="L206" s="63"/>
      <c r="M206" s="289" t="s">
        <v>2402</v>
      </c>
      <c r="N206" s="338" t="s">
        <v>4110</v>
      </c>
      <c r="P206" s="9">
        <f>SUM(Puntenklassement!D76)</f>
        <v>2078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25</v>
      </c>
      <c r="C207" s="63"/>
      <c r="D207" s="289" t="s">
        <v>1458</v>
      </c>
      <c r="E207" s="338" t="s">
        <v>4068</v>
      </c>
      <c r="G207" s="214">
        <v>0</v>
      </c>
      <c r="H207" s="212">
        <v>1</v>
      </c>
      <c r="I207" s="213">
        <v>0</v>
      </c>
      <c r="J207" s="5" t="s">
        <v>925</v>
      </c>
      <c r="K207" s="278" t="s">
        <v>2030</v>
      </c>
      <c r="L207" s="63"/>
      <c r="M207" s="289" t="s">
        <v>2407</v>
      </c>
      <c r="N207" s="338" t="s">
        <v>4103</v>
      </c>
      <c r="P207" s="9">
        <f>SUM(Puntenklassement!D52)</f>
        <v>2058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3388</v>
      </c>
      <c r="C208" s="63"/>
      <c r="D208" s="270" t="s">
        <v>4055</v>
      </c>
      <c r="E208" s="338" t="s">
        <v>4106</v>
      </c>
      <c r="G208" s="214">
        <v>0</v>
      </c>
      <c r="H208" s="212">
        <v>1</v>
      </c>
      <c r="I208" s="213">
        <v>0</v>
      </c>
      <c r="J208" s="5" t="s">
        <v>926</v>
      </c>
      <c r="K208" s="278" t="s">
        <v>2034</v>
      </c>
      <c r="L208" s="63"/>
      <c r="M208" s="289" t="s">
        <v>1872</v>
      </c>
      <c r="N208" s="338" t="s">
        <v>4107</v>
      </c>
      <c r="P208" s="9">
        <f>SUM(Puntenklassement!D95)</f>
        <v>2027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19" t="s">
        <v>1662</v>
      </c>
      <c r="C209" s="63"/>
      <c r="D209" s="289" t="s">
        <v>1429</v>
      </c>
      <c r="E209" s="338" t="s">
        <v>4073</v>
      </c>
      <c r="G209" s="214">
        <v>0</v>
      </c>
      <c r="H209" s="212">
        <v>1</v>
      </c>
      <c r="I209" s="213">
        <v>0</v>
      </c>
      <c r="J209" s="5" t="s">
        <v>927</v>
      </c>
      <c r="K209" s="278" t="s">
        <v>13</v>
      </c>
      <c r="L209" s="63"/>
      <c r="M209" s="288" t="s">
        <v>1469</v>
      </c>
      <c r="N209" s="338" t="s">
        <v>4092</v>
      </c>
      <c r="P209" s="9">
        <f>SUM(Puntenklassement!D33)</f>
        <v>2008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3389</v>
      </c>
      <c r="C210" s="63"/>
      <c r="D210" s="270" t="s">
        <v>4056</v>
      </c>
      <c r="E210" s="338" t="s">
        <v>4108</v>
      </c>
      <c r="G210" s="214">
        <v>0</v>
      </c>
      <c r="H210" s="212">
        <v>0</v>
      </c>
      <c r="I210" s="213">
        <v>4</v>
      </c>
      <c r="J210" s="5" t="s">
        <v>928</v>
      </c>
      <c r="K210" s="278" t="s">
        <v>2007</v>
      </c>
      <c r="L210" s="63"/>
      <c r="M210" s="289" t="s">
        <v>1862</v>
      </c>
      <c r="N210" s="338" t="s">
        <v>4093</v>
      </c>
      <c r="P210" s="9">
        <f>SUM(Puntenklassement!D6)</f>
        <v>2006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8" t="s">
        <v>2006</v>
      </c>
      <c r="C211" s="63"/>
      <c r="D211" s="289" t="s">
        <v>1485</v>
      </c>
      <c r="E211" s="338" t="s">
        <v>4098</v>
      </c>
      <c r="G211" s="214">
        <v>0</v>
      </c>
      <c r="H211" s="212">
        <v>0</v>
      </c>
      <c r="I211" s="213">
        <v>2</v>
      </c>
      <c r="J211" s="5" t="s">
        <v>929</v>
      </c>
      <c r="K211" s="278" t="s">
        <v>27</v>
      </c>
      <c r="L211" s="63"/>
      <c r="M211" s="288" t="s">
        <v>1464</v>
      </c>
      <c r="N211" s="338" t="s">
        <v>4089</v>
      </c>
      <c r="P211" s="9">
        <f>SUM(Puntenklassement!D66)</f>
        <v>1975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21</v>
      </c>
      <c r="C212" s="63"/>
      <c r="D212" s="289" t="s">
        <v>1452</v>
      </c>
      <c r="E212" s="338" t="s">
        <v>4068</v>
      </c>
      <c r="G212" s="214">
        <v>0</v>
      </c>
      <c r="H212" s="212">
        <v>0</v>
      </c>
      <c r="I212" s="213">
        <v>1</v>
      </c>
      <c r="J212" s="5" t="s">
        <v>930</v>
      </c>
      <c r="K212" s="63" t="s">
        <v>782</v>
      </c>
      <c r="L212" s="63"/>
      <c r="M212" s="288" t="s">
        <v>1476</v>
      </c>
      <c r="N212" s="338" t="s">
        <v>4097</v>
      </c>
      <c r="P212" s="9">
        <f>SUM(Puntenklassement!D90)</f>
        <v>1962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788</v>
      </c>
      <c r="C213" s="63"/>
      <c r="D213" s="289" t="s">
        <v>1470</v>
      </c>
      <c r="E213" s="338" t="s">
        <v>4093</v>
      </c>
      <c r="G213" s="214">
        <v>0</v>
      </c>
      <c r="H213" s="212">
        <v>0</v>
      </c>
      <c r="I213" s="213">
        <v>0</v>
      </c>
      <c r="J213" s="5" t="s">
        <v>931</v>
      </c>
      <c r="K213" s="219" t="s">
        <v>1644</v>
      </c>
      <c r="L213" s="63"/>
      <c r="M213" s="289" t="s">
        <v>1857</v>
      </c>
      <c r="N213" s="338" t="s">
        <v>4099</v>
      </c>
      <c r="P213" s="9">
        <f>SUM(Puntenklassement!D55)</f>
        <v>1919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3377</v>
      </c>
      <c r="C214" s="63"/>
      <c r="D214" s="270" t="s">
        <v>4044</v>
      </c>
      <c r="E214" s="338" t="s">
        <v>4107</v>
      </c>
      <c r="G214" s="214">
        <v>0</v>
      </c>
      <c r="H214" s="212">
        <v>0</v>
      </c>
      <c r="I214" s="213">
        <v>0</v>
      </c>
      <c r="J214" s="5" t="s">
        <v>932</v>
      </c>
      <c r="K214" s="63" t="s">
        <v>788</v>
      </c>
      <c r="L214" s="63"/>
      <c r="M214" s="289" t="s">
        <v>1470</v>
      </c>
      <c r="N214" s="338" t="s">
        <v>4093</v>
      </c>
      <c r="P214" s="9">
        <f>SUM(Puntenklassement!D16)</f>
        <v>1855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1655</v>
      </c>
      <c r="C215" s="63"/>
      <c r="D215" s="289" t="s">
        <v>1474</v>
      </c>
      <c r="E215" s="338" t="s">
        <v>4096</v>
      </c>
      <c r="G215" s="214">
        <v>0</v>
      </c>
      <c r="H215" s="212">
        <v>0</v>
      </c>
      <c r="I215" s="213">
        <v>0</v>
      </c>
      <c r="J215" s="5" t="s">
        <v>933</v>
      </c>
      <c r="K215" s="63" t="s">
        <v>3376</v>
      </c>
      <c r="L215" s="63"/>
      <c r="M215" s="270" t="s">
        <v>4043</v>
      </c>
      <c r="N215" s="338" t="s">
        <v>4106</v>
      </c>
      <c r="P215" s="9">
        <f>SUM(Puntenklassement!D18)</f>
        <v>1787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3402</v>
      </c>
      <c r="C216" s="63"/>
      <c r="D216" s="270" t="s">
        <v>4063</v>
      </c>
      <c r="E216" s="338" t="s">
        <v>4107</v>
      </c>
      <c r="G216" s="214">
        <v>0</v>
      </c>
      <c r="H216" s="212">
        <v>0</v>
      </c>
      <c r="I216" s="213">
        <v>0</v>
      </c>
      <c r="J216" s="5" t="s">
        <v>934</v>
      </c>
      <c r="K216" s="278" t="s">
        <v>1</v>
      </c>
      <c r="L216" s="63"/>
      <c r="M216" s="289" t="s">
        <v>1484</v>
      </c>
      <c r="N216" s="338" t="s">
        <v>4103</v>
      </c>
      <c r="P216" s="9">
        <f>SUM(Puntenklassement!D10)</f>
        <v>1762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63"/>
      <c r="D217" s="289" t="s">
        <v>1417</v>
      </c>
      <c r="E217" s="338" t="s">
        <v>4077</v>
      </c>
      <c r="G217" s="214">
        <v>0</v>
      </c>
      <c r="H217" s="212">
        <v>0</v>
      </c>
      <c r="I217" s="213">
        <v>0</v>
      </c>
      <c r="J217" s="5" t="s">
        <v>935</v>
      </c>
      <c r="K217" s="278" t="s">
        <v>2056</v>
      </c>
      <c r="L217" s="63"/>
      <c r="M217" s="289" t="s">
        <v>2406</v>
      </c>
      <c r="N217" s="338" t="s">
        <v>4110</v>
      </c>
      <c r="P217" s="9">
        <f>SUM(Puntenklassement!D79)</f>
        <v>1662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169</v>
      </c>
      <c r="H219" s="1">
        <f>SUM(H118:H218)</f>
        <v>175</v>
      </c>
      <c r="I219" s="1">
        <f>SUM(I118:I218)</f>
        <v>153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2000</v>
      </c>
      <c r="E221" s="359" t="s">
        <v>5099</v>
      </c>
      <c r="F221" s="358" t="s">
        <v>5042</v>
      </c>
      <c r="G221" s="34" t="s">
        <v>807</v>
      </c>
      <c r="L221" s="207" t="s">
        <v>1617</v>
      </c>
      <c r="M221" s="207" t="s">
        <v>2021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3224</v>
      </c>
      <c r="E222" s="251">
        <f>UCIRanking!B52</f>
        <v>61701.687499999782</v>
      </c>
      <c r="F222" s="251">
        <v>61609.512499999801</v>
      </c>
      <c r="G222" s="59">
        <f>SUM(E222-F222)</f>
        <v>92.174999999981083</v>
      </c>
      <c r="H222" s="523"/>
      <c r="I222" s="332" t="s">
        <v>0</v>
      </c>
      <c r="J222" s="63" t="s">
        <v>3393</v>
      </c>
      <c r="L222" s="270" t="s">
        <v>4061</v>
      </c>
      <c r="M222" s="338" t="s">
        <v>4109</v>
      </c>
      <c r="O222" s="67">
        <f>$AOL$672</f>
        <v>8552.5000000000036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3225</v>
      </c>
      <c r="E223" s="251">
        <f>UCIRanking!B71</f>
        <v>59469.987499999886</v>
      </c>
      <c r="F223" s="251">
        <v>59468.112499999872</v>
      </c>
      <c r="G223" s="59">
        <f>SUM(E223-F223)</f>
        <v>1.8750000000145519</v>
      </c>
      <c r="H223" s="523"/>
      <c r="I223" s="332" t="s">
        <v>2</v>
      </c>
      <c r="J223" s="63" t="s">
        <v>3394</v>
      </c>
      <c r="L223" s="270" t="s">
        <v>4062</v>
      </c>
      <c r="M223" s="338" t="s">
        <v>4106</v>
      </c>
      <c r="O223" s="67">
        <f>$AOU$672</f>
        <v>8482.1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3228</v>
      </c>
      <c r="E224" s="251">
        <f>UCIRanking!B49</f>
        <v>58095.87499999992</v>
      </c>
      <c r="F224" s="251">
        <v>57746.099999999911</v>
      </c>
      <c r="G224" s="59">
        <f>SUM(E224-F224)</f>
        <v>349.77500000000873</v>
      </c>
      <c r="H224" s="523"/>
      <c r="I224" s="332" t="s">
        <v>3</v>
      </c>
      <c r="J224" s="63" t="s">
        <v>3390</v>
      </c>
      <c r="L224" s="270" t="s">
        <v>4057</v>
      </c>
      <c r="M224" s="338" t="s">
        <v>4104</v>
      </c>
      <c r="O224" s="67">
        <f>$ANB$672</f>
        <v>8382.4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3227</v>
      </c>
      <c r="E225" s="251">
        <f>UCIRanking!B78</f>
        <v>58002.537500000108</v>
      </c>
      <c r="F225" s="251">
        <v>57876.487500000105</v>
      </c>
      <c r="G225" s="59">
        <f>SUM(E225-F225)</f>
        <v>126.05000000000291</v>
      </c>
      <c r="H225" s="523"/>
      <c r="I225" s="332" t="s">
        <v>5</v>
      </c>
      <c r="J225" s="63" t="s">
        <v>3383</v>
      </c>
      <c r="L225" s="270" t="s">
        <v>4050</v>
      </c>
      <c r="M225" s="338" t="s">
        <v>4104</v>
      </c>
      <c r="O225" s="67">
        <f>$AKQ$672</f>
        <v>8313.6999999999989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31</v>
      </c>
      <c r="C226" s="9"/>
      <c r="D226" s="63" t="s">
        <v>3226</v>
      </c>
      <c r="E226" s="251">
        <f>UCIRanking!B89</f>
        <v>57960.799999999857</v>
      </c>
      <c r="F226" s="251">
        <v>57767.149999999863</v>
      </c>
      <c r="G226" s="59">
        <f>SUM(E226-F226)</f>
        <v>193.64999999999418</v>
      </c>
      <c r="H226" s="523"/>
      <c r="I226" s="332" t="s">
        <v>7</v>
      </c>
      <c r="J226" s="63" t="s">
        <v>3382</v>
      </c>
      <c r="L226" s="270" t="s">
        <v>4049</v>
      </c>
      <c r="M226" s="338" t="s">
        <v>4107</v>
      </c>
      <c r="O226" s="67">
        <f>$AKH$672</f>
        <v>8030.4999999999991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3231</v>
      </c>
      <c r="E227" s="251">
        <f>UCIRanking!B102</f>
        <v>57606.499999999629</v>
      </c>
      <c r="F227" s="251">
        <v>57380.34999999962</v>
      </c>
      <c r="G227" s="59">
        <f>SUM(E227-F227)</f>
        <v>226.15000000000873</v>
      </c>
      <c r="H227" s="523"/>
      <c r="I227" s="332" t="s">
        <v>8</v>
      </c>
      <c r="J227" s="63" t="s">
        <v>3406</v>
      </c>
      <c r="L227" s="270" t="s">
        <v>4066</v>
      </c>
      <c r="M227" s="338" t="s">
        <v>4104</v>
      </c>
      <c r="O227" s="67">
        <f>$AQE$672</f>
        <v>7998.8499999999995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33</v>
      </c>
      <c r="C228" s="9"/>
      <c r="D228" s="63" t="s">
        <v>3229</v>
      </c>
      <c r="E228" s="251">
        <f>UCIRanking!B94</f>
        <v>57320.537500000049</v>
      </c>
      <c r="F228" s="251">
        <v>57141.237500000047</v>
      </c>
      <c r="G228" s="59">
        <f>SUM(E228-F228)</f>
        <v>179.30000000000291</v>
      </c>
      <c r="H228" s="523"/>
      <c r="I228" s="332" t="s">
        <v>10</v>
      </c>
      <c r="J228" s="63" t="s">
        <v>3380</v>
      </c>
      <c r="L228" s="270" t="s">
        <v>4047</v>
      </c>
      <c r="M228" s="338" t="s">
        <v>4104</v>
      </c>
      <c r="O228" s="67">
        <f>$AJP$672</f>
        <v>7902.4500000000016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3230</v>
      </c>
      <c r="E229" s="251">
        <f>UCIRanking!B64</f>
        <v>57081.925000000258</v>
      </c>
      <c r="F229" s="251">
        <v>56807.700000000252</v>
      </c>
      <c r="G229" s="59">
        <f>SUM(E229-F229)</f>
        <v>274.22500000000582</v>
      </c>
      <c r="H229" s="523"/>
      <c r="I229" s="282" t="s">
        <v>12</v>
      </c>
      <c r="J229" s="63" t="s">
        <v>3391</v>
      </c>
      <c r="L229" s="270" t="s">
        <v>4059</v>
      </c>
      <c r="M229" s="338" t="s">
        <v>4109</v>
      </c>
      <c r="O229" s="67">
        <f>$ANT$672</f>
        <v>7882.4000000000005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783</v>
      </c>
      <c r="C230" s="9"/>
      <c r="D230" s="63" t="s">
        <v>3233</v>
      </c>
      <c r="E230" s="251">
        <f>UCIRanking!B35</f>
        <v>56922.612499999857</v>
      </c>
      <c r="F230" s="251">
        <v>56581.53749999986</v>
      </c>
      <c r="G230" s="59">
        <f>SUM(E230-F230)</f>
        <v>341.07499999999709</v>
      </c>
      <c r="H230" s="523"/>
      <c r="I230" s="282" t="s">
        <v>14</v>
      </c>
      <c r="J230" s="63" t="s">
        <v>3378</v>
      </c>
      <c r="L230" s="270" t="s">
        <v>4045</v>
      </c>
      <c r="M230" s="338" t="s">
        <v>4106</v>
      </c>
      <c r="O230" s="67">
        <f>$AIX$672</f>
        <v>7848.550000000002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11</v>
      </c>
      <c r="C231" s="9"/>
      <c r="D231" s="63" t="s">
        <v>3232</v>
      </c>
      <c r="E231" s="251">
        <f>UCIRanking!B28</f>
        <v>56346.725000000166</v>
      </c>
      <c r="F231" s="251">
        <v>56175.587500000169</v>
      </c>
      <c r="G231" s="59">
        <f>SUM(E231-F231)</f>
        <v>171.13749999999709</v>
      </c>
      <c r="H231" s="523"/>
      <c r="I231" s="282" t="s">
        <v>16</v>
      </c>
      <c r="J231" s="63" t="s">
        <v>3402</v>
      </c>
      <c r="L231" s="270" t="s">
        <v>4063</v>
      </c>
      <c r="M231" s="338" t="s">
        <v>4107</v>
      </c>
      <c r="O231" s="67">
        <f>$APD$672</f>
        <v>7757.8999999999987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37</v>
      </c>
      <c r="C232" s="9"/>
      <c r="D232" s="63" t="s">
        <v>3235</v>
      </c>
      <c r="E232" s="251">
        <f>UCIRanking!B95</f>
        <v>56235.853749999929</v>
      </c>
      <c r="F232" s="251">
        <v>56066.428749999926</v>
      </c>
      <c r="G232" s="59">
        <f>SUM(E232-F232)</f>
        <v>169.42500000000291</v>
      </c>
      <c r="H232" s="523"/>
      <c r="I232" s="282" t="s">
        <v>18</v>
      </c>
      <c r="J232" s="63" t="s">
        <v>3407</v>
      </c>
      <c r="L232" s="270" t="s">
        <v>4058</v>
      </c>
      <c r="M232" s="338" t="s">
        <v>4104</v>
      </c>
      <c r="O232" s="67">
        <f>$ANK$672</f>
        <v>7736.35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3242</v>
      </c>
      <c r="E233" s="251">
        <f>UCIRanking!B11</f>
        <v>55798.474999999904</v>
      </c>
      <c r="F233" s="251">
        <v>55514.32499999991</v>
      </c>
      <c r="G233" s="59">
        <f>SUM(E233-F233)</f>
        <v>284.14999999999418</v>
      </c>
      <c r="H233" s="523"/>
      <c r="I233" s="282" t="s">
        <v>20</v>
      </c>
      <c r="J233" s="63" t="s">
        <v>3405</v>
      </c>
      <c r="L233" s="270" t="s">
        <v>4065</v>
      </c>
      <c r="M233" s="338" t="s">
        <v>4108</v>
      </c>
      <c r="O233" s="67">
        <f>$APV$672</f>
        <v>7616.2500000000027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3240</v>
      </c>
      <c r="E234" s="251">
        <f>UCIRanking!B80</f>
        <v>55558.76249999999</v>
      </c>
      <c r="F234" s="251">
        <v>55464.362499999981</v>
      </c>
      <c r="G234" s="59">
        <f>SUM(E234-F234)</f>
        <v>94.400000000008731</v>
      </c>
      <c r="H234" s="523"/>
      <c r="I234" s="282" t="s">
        <v>22</v>
      </c>
      <c r="J234" s="63" t="s">
        <v>3375</v>
      </c>
      <c r="L234" s="270" t="s">
        <v>4042</v>
      </c>
      <c r="M234" s="338" t="s">
        <v>4106</v>
      </c>
      <c r="O234" s="67">
        <f>$AHW$672</f>
        <v>7574.0000000000009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746</v>
      </c>
      <c r="C235" s="9"/>
      <c r="D235" s="63" t="s">
        <v>3243</v>
      </c>
      <c r="E235" s="251">
        <f>UCIRanking!B68</f>
        <v>55214.050000000323</v>
      </c>
      <c r="F235" s="251">
        <v>54837.975000000311</v>
      </c>
      <c r="G235" s="59">
        <f>SUM(E235-F235)</f>
        <v>376.07500000001164</v>
      </c>
      <c r="H235" s="523"/>
      <c r="I235" s="282" t="s">
        <v>24</v>
      </c>
      <c r="J235" s="63" t="s">
        <v>3389</v>
      </c>
      <c r="L235" s="270" t="s">
        <v>4056</v>
      </c>
      <c r="M235" s="338" t="s">
        <v>4108</v>
      </c>
      <c r="O235" s="67">
        <f>$AMS$672</f>
        <v>7431.4000000000005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3237</v>
      </c>
      <c r="E236" s="251">
        <f>UCIRanking!B74</f>
        <v>55194.775000000067</v>
      </c>
      <c r="F236" s="251">
        <v>55004.100000000064</v>
      </c>
      <c r="G236" s="59">
        <f>SUM(E236-F236)</f>
        <v>190.67500000000291</v>
      </c>
      <c r="H236" s="523"/>
      <c r="I236" s="282" t="s">
        <v>26</v>
      </c>
      <c r="J236" s="63" t="s">
        <v>3403</v>
      </c>
      <c r="L236" s="270" t="s">
        <v>4064</v>
      </c>
      <c r="M236" s="338" t="s">
        <v>4105</v>
      </c>
      <c r="O236" s="67">
        <f>$APM$672</f>
        <v>7313.8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28" t="s">
        <v>143</v>
      </c>
      <c r="C237" s="9"/>
      <c r="D237" s="63" t="s">
        <v>3234</v>
      </c>
      <c r="E237" s="251">
        <f>UCIRanking!B96</f>
        <v>55115.050000000156</v>
      </c>
      <c r="F237" s="251">
        <v>55057.20000000015</v>
      </c>
      <c r="G237" s="59">
        <f>SUM(E237-F237)</f>
        <v>57.850000000005821</v>
      </c>
      <c r="H237" s="523"/>
      <c r="I237" s="282" t="s">
        <v>28</v>
      </c>
      <c r="J237" s="63" t="s">
        <v>180</v>
      </c>
      <c r="L237" s="270" t="s">
        <v>4060</v>
      </c>
      <c r="M237" s="338" t="s">
        <v>4105</v>
      </c>
      <c r="O237" s="67">
        <f>$AOC$672</f>
        <v>7227.2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762</v>
      </c>
      <c r="D238" s="63" t="s">
        <v>3241</v>
      </c>
      <c r="E238" s="251">
        <f>UCIRanking!B59</f>
        <v>54968.437499999854</v>
      </c>
      <c r="F238" s="251">
        <v>54833.537499999846</v>
      </c>
      <c r="G238" s="59">
        <f>SUM(E238-F238)</f>
        <v>134.90000000000873</v>
      </c>
      <c r="H238" s="523"/>
      <c r="I238" s="282" t="s">
        <v>30</v>
      </c>
      <c r="J238" s="63" t="s">
        <v>3387</v>
      </c>
      <c r="L238" s="270" t="s">
        <v>4054</v>
      </c>
      <c r="M238" s="338" t="s">
        <v>4104</v>
      </c>
      <c r="O238" s="67">
        <f>$AMA$672</f>
        <v>7199.35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3236</v>
      </c>
      <c r="E239" s="251">
        <f>UCIRanking!B41</f>
        <v>54752.887500000259</v>
      </c>
      <c r="F239" s="251">
        <v>54574.412500000253</v>
      </c>
      <c r="G239" s="59">
        <f>SUM(E239-F239)</f>
        <v>178.47500000000582</v>
      </c>
      <c r="H239" s="523"/>
      <c r="I239" s="282" t="s">
        <v>32</v>
      </c>
      <c r="J239" s="63" t="s">
        <v>3381</v>
      </c>
      <c r="L239" s="270" t="s">
        <v>4048</v>
      </c>
      <c r="M239" s="338" t="s">
        <v>4104</v>
      </c>
      <c r="O239" s="67">
        <f>$AJY$672</f>
        <v>7174.300000000002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3239</v>
      </c>
      <c r="E240" s="251">
        <f>UCIRanking!B103</f>
        <v>54730.275000000023</v>
      </c>
      <c r="F240" s="251">
        <v>54500.700000000026</v>
      </c>
      <c r="G240" s="59">
        <f>SUM(E240-F240)</f>
        <v>229.57499999999709</v>
      </c>
      <c r="H240" s="523"/>
      <c r="I240" s="282" t="s">
        <v>34</v>
      </c>
      <c r="J240" s="63" t="s">
        <v>3388</v>
      </c>
      <c r="L240" s="270" t="s">
        <v>4055</v>
      </c>
      <c r="M240" s="338" t="s">
        <v>4106</v>
      </c>
      <c r="O240" s="67">
        <f>$AMJ$672</f>
        <v>7118.2999999999984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748</v>
      </c>
      <c r="C241" s="9"/>
      <c r="D241" s="63" t="s">
        <v>3246</v>
      </c>
      <c r="E241" s="251">
        <f>UCIRanking!B81</f>
        <v>54687.262500000179</v>
      </c>
      <c r="F241" s="251">
        <v>54136.637500000179</v>
      </c>
      <c r="G241" s="59">
        <f>SUM(E241-F241)</f>
        <v>550.625</v>
      </c>
      <c r="H241" s="523"/>
      <c r="I241" s="282" t="s">
        <v>36</v>
      </c>
      <c r="J241" s="63" t="s">
        <v>3379</v>
      </c>
      <c r="L241" s="270" t="s">
        <v>4046</v>
      </c>
      <c r="M241" s="338" t="s">
        <v>4109</v>
      </c>
      <c r="O241" s="67">
        <f>$AJG$672</f>
        <v>7036.2999999999993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3245</v>
      </c>
      <c r="E242" s="251">
        <f>UCIRanking!B53</f>
        <v>54089.149999999812</v>
      </c>
      <c r="F242" s="251">
        <v>54210.274999999812</v>
      </c>
      <c r="G242" s="59">
        <f>SUM(E242-F242)</f>
        <v>-121.125</v>
      </c>
      <c r="H242" s="523"/>
      <c r="I242" s="282" t="s">
        <v>38</v>
      </c>
      <c r="J242" s="63" t="s">
        <v>3385</v>
      </c>
      <c r="L242" s="270" t="s">
        <v>4052</v>
      </c>
      <c r="M242" s="338" t="s">
        <v>4110</v>
      </c>
      <c r="O242" s="67">
        <f>$ALI$672</f>
        <v>7029.699999999998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3248</v>
      </c>
      <c r="E243" s="251">
        <f>UCIRanking!B97</f>
        <v>53151.962500000031</v>
      </c>
      <c r="F243" s="251">
        <v>52918.837500000031</v>
      </c>
      <c r="G243" s="59">
        <f>SUM(E243-F243)</f>
        <v>233.125</v>
      </c>
      <c r="H243" s="523"/>
      <c r="I243" s="282" t="s">
        <v>145</v>
      </c>
      <c r="J243" s="278" t="s">
        <v>3373</v>
      </c>
      <c r="L243" s="288" t="s">
        <v>2156</v>
      </c>
      <c r="M243" s="338" t="s">
        <v>4105</v>
      </c>
      <c r="O243" s="67">
        <f>$AHE$672</f>
        <v>6812.5000000000018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3247</v>
      </c>
      <c r="E244" s="251">
        <f>UCIRanking!B85</f>
        <v>53027.962499999769</v>
      </c>
      <c r="F244" s="251">
        <v>52900.287499999766</v>
      </c>
      <c r="G244" s="59">
        <f>SUM(E244-F244)</f>
        <v>127.67500000000291</v>
      </c>
      <c r="H244" s="523"/>
      <c r="I244" s="282" t="s">
        <v>146</v>
      </c>
      <c r="J244" s="63" t="s">
        <v>3377</v>
      </c>
      <c r="L244" s="270" t="s">
        <v>4044</v>
      </c>
      <c r="M244" s="338" t="s">
        <v>4107</v>
      </c>
      <c r="O244" s="67">
        <f>$AIO$672</f>
        <v>6743.5500000000011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3249</v>
      </c>
      <c r="E245" s="251">
        <f>UCIRanking!B38</f>
        <v>52130.312499999658</v>
      </c>
      <c r="F245" s="251">
        <v>51905.237499999661</v>
      </c>
      <c r="G245" s="59">
        <f>SUM(E245-F245)</f>
        <v>225.07499999999709</v>
      </c>
      <c r="H245" s="523"/>
      <c r="I245" s="282" t="s">
        <v>147</v>
      </c>
      <c r="J245" s="63" t="s">
        <v>3386</v>
      </c>
      <c r="L245" s="270" t="s">
        <v>4053</v>
      </c>
      <c r="M245" s="338" t="s">
        <v>4110</v>
      </c>
      <c r="O245" s="67">
        <f>$ALR$672</f>
        <v>6717.9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3244</v>
      </c>
      <c r="E246" s="251">
        <f>UCIRanking!B70</f>
        <v>51934.374999999724</v>
      </c>
      <c r="F246" s="251">
        <v>51816.424999999726</v>
      </c>
      <c r="G246" s="59">
        <f>SUM(E246-F246)</f>
        <v>117.94999999999709</v>
      </c>
      <c r="H246" s="523"/>
      <c r="I246" s="282" t="s">
        <v>151</v>
      </c>
      <c r="J246" s="63" t="s">
        <v>3384</v>
      </c>
      <c r="L246" s="270" t="s">
        <v>4051</v>
      </c>
      <c r="M246" s="338" t="s">
        <v>4110</v>
      </c>
      <c r="O246" s="67">
        <f>$AKZ$672</f>
        <v>5991.1000000000031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3251</v>
      </c>
      <c r="E247" s="251">
        <f>UCIRanking!B43</f>
        <v>51695.512499999859</v>
      </c>
      <c r="F247" s="251">
        <v>51368.21249999987</v>
      </c>
      <c r="G247" s="59">
        <f>SUM(E247-F247)</f>
        <v>327.29999999998836</v>
      </c>
      <c r="H247" s="523"/>
      <c r="I247" s="282" t="s">
        <v>157</v>
      </c>
      <c r="J247" s="278" t="s">
        <v>3374</v>
      </c>
      <c r="L247" s="288" t="s">
        <v>3222</v>
      </c>
      <c r="M247" s="338" t="s">
        <v>4103</v>
      </c>
      <c r="O247" s="67">
        <f>$AHN$672</f>
        <v>5949.5499999999993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738</v>
      </c>
      <c r="D248" s="63" t="s">
        <v>3253</v>
      </c>
      <c r="E248" s="251">
        <f>UCIRanking!B75</f>
        <v>51013.699999999793</v>
      </c>
      <c r="F248" s="251">
        <v>50818.899999999805</v>
      </c>
      <c r="G248" s="59">
        <f>SUM(E248-F248)</f>
        <v>194.79999999998836</v>
      </c>
      <c r="H248" s="523"/>
      <c r="I248" s="282" t="s">
        <v>159</v>
      </c>
      <c r="J248" s="63" t="s">
        <v>3376</v>
      </c>
      <c r="L248" s="270" t="s">
        <v>4043</v>
      </c>
      <c r="M248" s="338" t="s">
        <v>4106</v>
      </c>
      <c r="O248" s="67">
        <f>$AIF$672</f>
        <v>5939.6999999999989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219" t="s">
        <v>1653</v>
      </c>
      <c r="D249" s="63" t="s">
        <v>3262</v>
      </c>
      <c r="E249" s="251">
        <f>UCIRanking!B16</f>
        <v>50847.912499999926</v>
      </c>
      <c r="F249" s="251">
        <v>49908.612499999908</v>
      </c>
      <c r="G249" s="59">
        <f>SUM(E249-F249)</f>
        <v>939.30000000001746</v>
      </c>
      <c r="H249" s="523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153</v>
      </c>
      <c r="C250" s="9"/>
      <c r="D250" s="63" t="s">
        <v>3255</v>
      </c>
      <c r="E250" s="251">
        <f>UCIRanking!B22</f>
        <v>50510.637500000135</v>
      </c>
      <c r="F250" s="251">
        <v>50131.337500000147</v>
      </c>
      <c r="G250" s="59">
        <f>SUM(E250-F250)</f>
        <v>379.29999999998836</v>
      </c>
      <c r="H250" s="523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23</v>
      </c>
      <c r="C251" s="214"/>
      <c r="D251" s="63" t="s">
        <v>3257</v>
      </c>
      <c r="E251" s="251">
        <f>UCIRanking!B63</f>
        <v>50177.850000000144</v>
      </c>
      <c r="F251" s="251">
        <v>49868.337500000132</v>
      </c>
      <c r="G251" s="59">
        <f>SUM(E251-F251)</f>
        <v>309.51250000001164</v>
      </c>
      <c r="H251" s="523"/>
      <c r="J251" s="124" t="s">
        <v>2001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9</v>
      </c>
      <c r="C252" s="9"/>
      <c r="D252" s="63" t="s">
        <v>3260</v>
      </c>
      <c r="E252" s="251">
        <f>UCIRanking!B26</f>
        <v>50177.075000000048</v>
      </c>
      <c r="F252" s="251">
        <v>50004.400000000045</v>
      </c>
      <c r="G252" s="59">
        <f>SUM(E252-F252)</f>
        <v>172.67500000000291</v>
      </c>
      <c r="H252" s="523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219" t="s">
        <v>1660</v>
      </c>
      <c r="C253" s="103"/>
      <c r="D253" s="63" t="s">
        <v>3265</v>
      </c>
      <c r="E253" s="251">
        <f>UCIRanking!B76</f>
        <v>49968.837499999667</v>
      </c>
      <c r="F253" s="251">
        <v>49509.712499999667</v>
      </c>
      <c r="G253" s="59">
        <f>SUM(E253-F253)</f>
        <v>459.125</v>
      </c>
      <c r="H253" s="523"/>
      <c r="I253" s="332" t="s">
        <v>0</v>
      </c>
      <c r="J253" s="63" t="s">
        <v>4123</v>
      </c>
      <c r="L253" s="50"/>
      <c r="N253" s="67">
        <f>SUM($SH$672+$KI$672+$ZF$672+$AMS$672+$GW$672+$NC$672+$APV$672+$EU$672+$TI$672+$RY$672)</f>
        <v>79737.05</v>
      </c>
      <c r="O253" s="278" t="s">
        <v>4131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3258</v>
      </c>
      <c r="E254" s="251">
        <f>UCIRanking!B42</f>
        <v>49720.400000000191</v>
      </c>
      <c r="F254" s="251">
        <v>49193.500000000196</v>
      </c>
      <c r="G254" s="59">
        <f>SUM(E254-F254)</f>
        <v>526.89999999999418</v>
      </c>
      <c r="H254" s="523"/>
      <c r="I254" s="332" t="s">
        <v>2</v>
      </c>
      <c r="J254" s="63" t="s">
        <v>4121</v>
      </c>
      <c r="L254" s="50"/>
      <c r="N254" s="67">
        <f>SUM($YE$672+$PN$672+$AMA$672+$AJY$672+$AQE$672+$AJP$672+$XV$672+$AKQ$672+$ANB$672+$ANK$672)</f>
        <v>78002.100000000006</v>
      </c>
      <c r="O254" s="278" t="s">
        <v>4521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790</v>
      </c>
      <c r="D255" s="63" t="s">
        <v>3252</v>
      </c>
      <c r="E255" s="251">
        <f>UCIRanking!B90</f>
        <v>49609.724999999591</v>
      </c>
      <c r="F255" s="251">
        <v>49622.2499999996</v>
      </c>
      <c r="G255" s="59">
        <f>SUM(E255-F255)</f>
        <v>-12.525000000008731</v>
      </c>
      <c r="H255" s="523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77030.399999999994</v>
      </c>
      <c r="O255" s="219" t="s">
        <v>4127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796</v>
      </c>
      <c r="C256" s="9"/>
      <c r="D256" s="63" t="s">
        <v>3256</v>
      </c>
      <c r="E256" s="251">
        <f>UCIRanking!B51</f>
        <v>49448.162499999853</v>
      </c>
      <c r="F256" s="251">
        <v>49305.574999999859</v>
      </c>
      <c r="G256" s="59">
        <f>SUM(E256-F256)</f>
        <v>142.58749999999418</v>
      </c>
      <c r="H256" s="523"/>
      <c r="I256" s="332" t="s">
        <v>5</v>
      </c>
      <c r="J256" s="63" t="s">
        <v>1672</v>
      </c>
      <c r="L256" s="50"/>
      <c r="N256" s="67">
        <f>SUM($CA$672+$LJ$672+$HX$672+$IP$672+$AHE$672+$DT$672+$AZ$672+$DB$672+$AOC$672+$APM$672)</f>
        <v>76821.400000000009</v>
      </c>
      <c r="O256" s="278" t="s">
        <v>4125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764</v>
      </c>
      <c r="C257" s="9"/>
      <c r="D257" s="63" t="s">
        <v>3254</v>
      </c>
      <c r="E257" s="251">
        <f>UCIRanking!B73</f>
        <v>49406.800000000134</v>
      </c>
      <c r="F257" s="251">
        <v>49246.40000000014</v>
      </c>
      <c r="G257" s="59">
        <f>SUM(E257-F257)</f>
        <v>160.39999999999418</v>
      </c>
      <c r="H257" s="523"/>
      <c r="I257" s="332" t="s">
        <v>7</v>
      </c>
      <c r="J257" s="63" t="s">
        <v>1674</v>
      </c>
      <c r="L257" s="50"/>
      <c r="N257" s="67">
        <f>SUM($FM$672+$AHW$672+$AOU$672+$MK$672+$AIF$672+$DK$672+$AIX$672+$AH$672+$XM$672+$AMJ$672)</f>
        <v>75473.25</v>
      </c>
      <c r="O257" s="219" t="s">
        <v>4129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734</v>
      </c>
      <c r="D258" s="63" t="s">
        <v>3259</v>
      </c>
      <c r="E258" s="251">
        <f>UCIRanking!B37</f>
        <v>49106.800000000097</v>
      </c>
      <c r="F258" s="251">
        <v>48541.850000000115</v>
      </c>
      <c r="G258" s="59">
        <f>SUM(E258-F258)</f>
        <v>564.94999999998254</v>
      </c>
      <c r="H258" s="523"/>
      <c r="I258" s="332" t="s">
        <v>8</v>
      </c>
      <c r="J258" s="63" t="s">
        <v>4120</v>
      </c>
      <c r="L258" s="50"/>
      <c r="N258" s="67">
        <f>SUM($RG$672+$MT$672+$CJ$672+$VT$672+$AQ$672+$QX$672+$QO$672+$IY$672+$PE$672+$EL$672)</f>
        <v>75348.550000000017</v>
      </c>
      <c r="O258" s="219" t="s">
        <v>4128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1661</v>
      </c>
      <c r="D259" s="63" t="s">
        <v>3238</v>
      </c>
      <c r="E259" s="251">
        <f>UCIRanking!B119</f>
        <v>48836.224999999977</v>
      </c>
      <c r="F259" s="251">
        <v>49184.14999999998</v>
      </c>
      <c r="G259" s="59">
        <f>SUM(E259-F259)</f>
        <v>-347.92500000000291</v>
      </c>
      <c r="H259" s="523"/>
      <c r="I259" s="332" t="s">
        <v>10</v>
      </c>
      <c r="J259" s="63" t="s">
        <v>1671</v>
      </c>
      <c r="L259" s="50"/>
      <c r="N259" s="67">
        <f>SUM($AJG$672+$AOL$672+$SQ$672+$GE$672+$FD$672+$NL$672+$JQ$672+$JH$672+$ANT$672+$BR$672)</f>
        <v>75313.5</v>
      </c>
      <c r="O259" s="63" t="s">
        <v>4126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278" t="s">
        <v>27</v>
      </c>
      <c r="C260" s="9"/>
      <c r="D260" s="63" t="s">
        <v>3261</v>
      </c>
      <c r="E260" s="251">
        <f>UCIRanking!B69</f>
        <v>48083.099999999547</v>
      </c>
      <c r="F260" s="251">
        <v>47945.799999999545</v>
      </c>
      <c r="G260" s="59">
        <f>SUM(E260-F260)</f>
        <v>137.30000000000291</v>
      </c>
      <c r="H260" s="523"/>
      <c r="I260" s="332" t="s">
        <v>12</v>
      </c>
      <c r="J260" s="63" t="s">
        <v>4122</v>
      </c>
      <c r="L260" s="50"/>
      <c r="N260" s="67">
        <f>SUM($LS$672+$NU$672+$LA$672+$G$672+$KR$672+$BI$672+$P$672+$OV$672+$QF$672+$CS$672)</f>
        <v>74150.600000000006</v>
      </c>
      <c r="O260" s="278" t="s">
        <v>4130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1652</v>
      </c>
      <c r="C261" s="103"/>
      <c r="D261" s="63" t="s">
        <v>3268</v>
      </c>
      <c r="E261" s="251">
        <f>UCIRanking!B10</f>
        <v>48051.274999999885</v>
      </c>
      <c r="F261" s="251">
        <v>47707.524999999885</v>
      </c>
      <c r="G261" s="59">
        <f>SUM(E261-F261)</f>
        <v>343.75</v>
      </c>
      <c r="H261" s="523"/>
      <c r="I261" s="282" t="s">
        <v>14</v>
      </c>
      <c r="J261" s="63" t="s">
        <v>2157</v>
      </c>
      <c r="M261" s="67"/>
      <c r="N261" s="67">
        <f>SUM($ALR$672+$VB$672+$AKZ$672+$UA$672+$US$672+$MB$672+$AAG$672+$ABQ$672+$ALI$672+$Y$672)</f>
        <v>65206.75</v>
      </c>
      <c r="O261" s="63" t="s">
        <v>4132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63" t="s">
        <v>771</v>
      </c>
      <c r="D262" s="63" t="s">
        <v>3263</v>
      </c>
      <c r="E262" s="251">
        <f>UCIRanking!B17</f>
        <v>48031.31250000016</v>
      </c>
      <c r="F262" s="251">
        <v>47777.912500000166</v>
      </c>
      <c r="G262" s="59">
        <f>SUM(E262-F262)</f>
        <v>253.39999999999418</v>
      </c>
      <c r="H262" s="523"/>
      <c r="I262" s="282" t="s">
        <v>16</v>
      </c>
      <c r="J262" s="63" t="s">
        <v>4124</v>
      </c>
      <c r="L262" s="50"/>
      <c r="N262" s="67">
        <f>SUM($WL$672+$SZ$672+$AAY$672+$OD$672+$JZ$672+$AAP$672+$TR$672+$ABZ$672+$HF$672+$AHN$672)</f>
        <v>61775.849999999991</v>
      </c>
      <c r="O262" s="278" t="s">
        <v>4133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19" t="s">
        <v>1659</v>
      </c>
      <c r="D263" s="63" t="s">
        <v>3270</v>
      </c>
      <c r="E263" s="251">
        <f>UCIRanking!B101</f>
        <v>47367.787499999926</v>
      </c>
      <c r="F263" s="251">
        <v>46848.737499999923</v>
      </c>
      <c r="G263" s="59">
        <f>SUM(E263-F263)</f>
        <v>519.05000000000291</v>
      </c>
      <c r="H263" s="523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1655</v>
      </c>
      <c r="C264" s="103"/>
      <c r="D264" s="63" t="s">
        <v>3271</v>
      </c>
      <c r="E264" s="251">
        <f>UCIRanking!B31</f>
        <v>46890.312499999927</v>
      </c>
      <c r="F264" s="251">
        <v>46352.962499999936</v>
      </c>
      <c r="G264" s="59">
        <f>SUM(E264-F264)</f>
        <v>537.34999999999127</v>
      </c>
      <c r="H264" s="523"/>
      <c r="J264" s="124" t="s">
        <v>2002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63" t="s">
        <v>763</v>
      </c>
      <c r="C265" s="9"/>
      <c r="D265" s="63" t="s">
        <v>3266</v>
      </c>
      <c r="E265" s="251">
        <f>UCIRanking!B62</f>
        <v>46614.750000000007</v>
      </c>
      <c r="F265" s="251">
        <v>46518.237499999996</v>
      </c>
      <c r="G265" s="59">
        <f>SUM(E265-F265)</f>
        <v>96.512500000011642</v>
      </c>
      <c r="H265" s="523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78" t="s">
        <v>13</v>
      </c>
      <c r="D266" s="63" t="s">
        <v>3267</v>
      </c>
      <c r="E266" s="251">
        <f>UCIRanking!B36</f>
        <v>46449.037500000028</v>
      </c>
      <c r="F266" s="251">
        <v>46270.675000000025</v>
      </c>
      <c r="G266" s="59">
        <f>SUM(E266-F266)</f>
        <v>178.36250000000291</v>
      </c>
      <c r="H266" s="523"/>
      <c r="I266" s="332" t="s">
        <v>0</v>
      </c>
      <c r="J266" s="63" t="s">
        <v>4120</v>
      </c>
      <c r="L266" s="490">
        <v>33</v>
      </c>
      <c r="M266" s="491">
        <v>19</v>
      </c>
      <c r="N266" s="492">
        <v>24</v>
      </c>
      <c r="O266" s="219" t="s">
        <v>4128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19" t="s">
        <v>1656</v>
      </c>
      <c r="C267" s="9"/>
      <c r="D267" s="63" t="s">
        <v>3274</v>
      </c>
      <c r="E267" s="251">
        <f>UCIRanking!B66</f>
        <v>45880.599999999911</v>
      </c>
      <c r="F267" s="251">
        <v>45165.074999999903</v>
      </c>
      <c r="G267" s="59">
        <f>SUM(E267-F267)</f>
        <v>715.52500000000873</v>
      </c>
      <c r="H267" s="523"/>
      <c r="I267" s="332" t="s">
        <v>2</v>
      </c>
      <c r="J267" s="63" t="s">
        <v>1671</v>
      </c>
      <c r="L267" s="490">
        <v>25</v>
      </c>
      <c r="M267" s="491">
        <v>26</v>
      </c>
      <c r="N267" s="492">
        <v>14</v>
      </c>
      <c r="O267" s="63" t="s">
        <v>4126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19" t="s">
        <v>1657</v>
      </c>
      <c r="C268" s="103"/>
      <c r="D268" s="63" t="s">
        <v>3276</v>
      </c>
      <c r="E268" s="251">
        <f>UCIRanking!B8</f>
        <v>45877.274999999834</v>
      </c>
      <c r="F268" s="251">
        <v>45318.62499999984</v>
      </c>
      <c r="G268" s="59">
        <f>SUM(E268-F268)</f>
        <v>558.64999999999418</v>
      </c>
      <c r="H268" s="523"/>
      <c r="I268" s="332" t="s">
        <v>3</v>
      </c>
      <c r="J268" s="63" t="s">
        <v>4124</v>
      </c>
      <c r="L268" s="490">
        <v>21</v>
      </c>
      <c r="M268" s="491">
        <v>20</v>
      </c>
      <c r="N268" s="492">
        <v>13</v>
      </c>
      <c r="O268" s="278" t="s">
        <v>4133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219" t="s">
        <v>1654</v>
      </c>
      <c r="D269" s="63" t="s">
        <v>3275</v>
      </c>
      <c r="E269" s="251">
        <f>UCIRanking!B65</f>
        <v>45734.775000000009</v>
      </c>
      <c r="F269" s="251">
        <v>45448.700000000012</v>
      </c>
      <c r="G269" s="59">
        <f>SUM(E269-F269)</f>
        <v>286.07499999999709</v>
      </c>
      <c r="H269" s="523"/>
      <c r="I269" s="332" t="s">
        <v>5</v>
      </c>
      <c r="J269" s="63" t="s">
        <v>4123</v>
      </c>
      <c r="L269" s="490">
        <v>19</v>
      </c>
      <c r="M269" s="491">
        <v>17</v>
      </c>
      <c r="N269" s="492">
        <v>23</v>
      </c>
      <c r="O269" s="278" t="s">
        <v>4131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39</v>
      </c>
      <c r="C270" s="103"/>
      <c r="D270" s="63" t="s">
        <v>3250</v>
      </c>
      <c r="E270" s="251">
        <f>UCIRanking!B129</f>
        <v>44911.825000000172</v>
      </c>
      <c r="F270" s="251">
        <v>45247.97500000018</v>
      </c>
      <c r="G270" s="59">
        <f>SUM(E270-F270)</f>
        <v>-336.15000000000873</v>
      </c>
      <c r="H270" s="523"/>
      <c r="I270" s="332" t="s">
        <v>7</v>
      </c>
      <c r="J270" s="63" t="s">
        <v>1672</v>
      </c>
      <c r="K270" s="529"/>
      <c r="L270" s="490">
        <v>17</v>
      </c>
      <c r="M270" s="491">
        <v>17</v>
      </c>
      <c r="N270" s="492">
        <v>13</v>
      </c>
      <c r="O270" s="278" t="s">
        <v>4125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2012</v>
      </c>
      <c r="C271" s="103"/>
      <c r="D271" s="63" t="s">
        <v>3278</v>
      </c>
      <c r="E271" s="251">
        <f>UCIRanking!B105</f>
        <v>44895.925000000025</v>
      </c>
      <c r="F271" s="251">
        <v>44221.075000000033</v>
      </c>
      <c r="G271" s="59">
        <f>SUM(E271-F271)</f>
        <v>674.84999999999127</v>
      </c>
      <c r="H271" s="523"/>
      <c r="I271" s="332" t="s">
        <v>8</v>
      </c>
      <c r="J271" s="63" t="s">
        <v>2157</v>
      </c>
      <c r="L271" s="490">
        <v>16</v>
      </c>
      <c r="M271" s="491">
        <v>17</v>
      </c>
      <c r="N271" s="492">
        <v>10</v>
      </c>
      <c r="O271" s="63" t="s">
        <v>4132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63" t="s">
        <v>755</v>
      </c>
      <c r="D272" s="63" t="s">
        <v>3269</v>
      </c>
      <c r="E272" s="251">
        <f>UCIRanking!B92</f>
        <v>44573.899999999987</v>
      </c>
      <c r="F272" s="251">
        <v>44371.774999999987</v>
      </c>
      <c r="G272" s="59">
        <f>SUM(E272-F272)</f>
        <v>202.125</v>
      </c>
      <c r="H272" s="523"/>
      <c r="I272" s="332" t="s">
        <v>10</v>
      </c>
      <c r="J272" s="63" t="s">
        <v>4121</v>
      </c>
      <c r="L272" s="490">
        <v>14</v>
      </c>
      <c r="M272" s="491">
        <v>13</v>
      </c>
      <c r="N272" s="492">
        <v>16</v>
      </c>
      <c r="O272" s="278" t="s">
        <v>4521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782</v>
      </c>
      <c r="D273" s="63" t="s">
        <v>3273</v>
      </c>
      <c r="E273" s="251">
        <f>UCIRanking!B93</f>
        <v>44193.500000000211</v>
      </c>
      <c r="F273" s="251">
        <v>44234.27500000022</v>
      </c>
      <c r="G273" s="59">
        <f>SUM(E273-F273)</f>
        <v>-40.775000000008731</v>
      </c>
      <c r="H273" s="523"/>
      <c r="I273" s="332" t="s">
        <v>12</v>
      </c>
      <c r="J273" s="63" t="s">
        <v>4122</v>
      </c>
      <c r="L273" s="490">
        <v>9</v>
      </c>
      <c r="M273" s="491">
        <v>17</v>
      </c>
      <c r="N273" s="492">
        <v>11</v>
      </c>
      <c r="O273" s="278" t="s">
        <v>4130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278" t="s">
        <v>2010</v>
      </c>
      <c r="C274" s="103"/>
      <c r="D274" s="63" t="s">
        <v>3279</v>
      </c>
      <c r="E274" s="251">
        <f>UCIRanking!B20</f>
        <v>44047.624999999942</v>
      </c>
      <c r="F274" s="251">
        <v>43609.499999999942</v>
      </c>
      <c r="G274" s="59">
        <f>SUM(E274-F274)</f>
        <v>438.125</v>
      </c>
      <c r="H274" s="523"/>
      <c r="I274" s="282" t="s">
        <v>14</v>
      </c>
      <c r="J274" s="63" t="s">
        <v>1674</v>
      </c>
      <c r="L274" s="490">
        <v>9</v>
      </c>
      <c r="M274" s="491">
        <v>13</v>
      </c>
      <c r="N274" s="492">
        <v>17</v>
      </c>
      <c r="O274" s="219" t="s">
        <v>4129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63" t="s">
        <v>788</v>
      </c>
      <c r="D275" s="63" t="s">
        <v>3264</v>
      </c>
      <c r="E275" s="251">
        <f>UCIRanking!B19</f>
        <v>43401.586499999932</v>
      </c>
      <c r="F275" s="251">
        <v>43706.773999999932</v>
      </c>
      <c r="G275" s="59">
        <f>SUM(E275-F275)</f>
        <v>-305.1875</v>
      </c>
      <c r="H275" s="523"/>
      <c r="I275" s="282" t="s">
        <v>16</v>
      </c>
      <c r="J275" s="63" t="s">
        <v>1673</v>
      </c>
      <c r="L275" s="490">
        <v>6</v>
      </c>
      <c r="M275" s="491">
        <v>16</v>
      </c>
      <c r="N275" s="492">
        <v>12</v>
      </c>
      <c r="O275" s="219" t="s">
        <v>4127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2022</v>
      </c>
      <c r="C276" s="103"/>
      <c r="D276" s="63" t="s">
        <v>3280</v>
      </c>
      <c r="E276" s="251">
        <f>UCIRanking!B27</f>
        <v>43278.887499999932</v>
      </c>
      <c r="F276" s="251">
        <v>42402.087499999929</v>
      </c>
      <c r="G276" s="59">
        <f>SUM(E276-F276)</f>
        <v>876.80000000000291</v>
      </c>
      <c r="H276" s="523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278" t="s">
        <v>2006</v>
      </c>
      <c r="D277" s="63" t="s">
        <v>3282</v>
      </c>
      <c r="E277" s="251">
        <f>UCIRanking!B87</f>
        <v>42156.812499999985</v>
      </c>
      <c r="F277" s="251">
        <v>41697.737499999974</v>
      </c>
      <c r="G277" s="59">
        <f>SUM(E277-F277)</f>
        <v>459.07500000001164</v>
      </c>
      <c r="H277" s="523"/>
      <c r="L277" s="350">
        <f>SUM(L266:L276)</f>
        <v>169</v>
      </c>
      <c r="M277" s="350">
        <f>SUM(M266:M276)</f>
        <v>175</v>
      </c>
      <c r="N277" s="350">
        <f>SUM(N266:N276)</f>
        <v>153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19" t="s">
        <v>1643</v>
      </c>
      <c r="C278" s="103"/>
      <c r="D278" s="63" t="s">
        <v>3284</v>
      </c>
      <c r="E278" s="251">
        <f>UCIRanking!B47</f>
        <v>40184.775000000038</v>
      </c>
      <c r="F278" s="251">
        <v>40006.925000000032</v>
      </c>
      <c r="G278" s="59">
        <f>SUM(E278-F278)</f>
        <v>177.85000000000582</v>
      </c>
      <c r="H278" s="523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78" t="s">
        <v>1</v>
      </c>
      <c r="C279" s="9"/>
      <c r="D279" s="63" t="s">
        <v>3281</v>
      </c>
      <c r="E279" s="251">
        <f>UCIRanking!B13</f>
        <v>39979.212499999951</v>
      </c>
      <c r="F279" s="251">
        <v>39716.612499999959</v>
      </c>
      <c r="G279" s="59">
        <f>SUM(E279-F279)</f>
        <v>262.59999999999127</v>
      </c>
      <c r="H279" s="523"/>
      <c r="J279" s="124" t="s">
        <v>2003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8" t="s">
        <v>144</v>
      </c>
      <c r="D280" s="63" t="s">
        <v>3272</v>
      </c>
      <c r="E280" s="251">
        <f>UCIRanking!B130</f>
        <v>39598.950000000048</v>
      </c>
      <c r="F280" s="251">
        <v>40026.075000000048</v>
      </c>
      <c r="G280" s="59">
        <f>SUM(E280-F280)</f>
        <v>-427.125</v>
      </c>
      <c r="H280" s="523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219" t="s">
        <v>1644</v>
      </c>
      <c r="C281" s="103"/>
      <c r="D281" s="63" t="s">
        <v>3286</v>
      </c>
      <c r="E281" s="251">
        <f>UCIRanking!B58</f>
        <v>39394.162499999919</v>
      </c>
      <c r="F281" s="251">
        <v>39173.63749999991</v>
      </c>
      <c r="G281" s="59">
        <f>SUM(E281-F281)</f>
        <v>220.52500000000873</v>
      </c>
      <c r="H281" s="523"/>
      <c r="I281" s="332" t="s">
        <v>0</v>
      </c>
      <c r="J281" s="63" t="s">
        <v>4120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27556</v>
      </c>
      <c r="O281" s="219" t="s">
        <v>4128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63" t="s">
        <v>728</v>
      </c>
      <c r="D282" s="63" t="s">
        <v>3283</v>
      </c>
      <c r="E282" s="251">
        <f>UCIRanking!B32</f>
        <v>39061.787499999919</v>
      </c>
      <c r="F282" s="251">
        <v>38519.562499999913</v>
      </c>
      <c r="G282" s="59">
        <f>SUM(E282-F282)</f>
        <v>542.22500000000582</v>
      </c>
      <c r="H282" s="523"/>
      <c r="I282" s="332" t="s">
        <v>2</v>
      </c>
      <c r="J282" s="63" t="s">
        <v>4121</v>
      </c>
      <c r="L282" s="50"/>
      <c r="N282" s="337">
        <f>SUM(Puntenklassement!D11)+(Puntenklassement!D28)+(Puntenklassement!D31)+(Puntenklassement!D41)+(Puntenklassement!D42)+(Puntenklassement!D45)+(Puntenklassement!D47)+(Puntenklassement!D53)+(Puntenklassement!D69)+(Puntenklassement!D85)</f>
        <v>27405</v>
      </c>
      <c r="O282" s="278" t="s">
        <v>4521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2014</v>
      </c>
      <c r="C283" s="103"/>
      <c r="D283" s="63" t="s">
        <v>3287</v>
      </c>
      <c r="E283" s="251">
        <f>UCIRanking!B7</f>
        <v>38363.424999999828</v>
      </c>
      <c r="F283" s="251">
        <v>38010.999999999825</v>
      </c>
      <c r="G283" s="59">
        <f>SUM(E283-F283)</f>
        <v>352.42500000000291</v>
      </c>
      <c r="H283" s="523"/>
      <c r="I283" s="332" t="s">
        <v>3</v>
      </c>
      <c r="J283" s="63" t="s">
        <v>1671</v>
      </c>
      <c r="L283" s="50"/>
      <c r="N283" s="337">
        <f>SUM(Puntenklassement!D21)+(Puntenklassement!D22)+(Puntenklassement!D24)+(Puntenklassement!D50)+(Puntenklassement!D56)+(Puntenklassement!D59)+(Puntenklassement!D70)+(Puntenklassement!D72)+(Puntenklassement!D88)+(Puntenklassement!D99)</f>
        <v>26483</v>
      </c>
      <c r="O283" s="63" t="s">
        <v>4126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78" t="s">
        <v>2015</v>
      </c>
      <c r="C284" s="103"/>
      <c r="D284" s="63" t="s">
        <v>3288</v>
      </c>
      <c r="E284" s="251">
        <f>UCIRanking!B33</f>
        <v>38175.075000000172</v>
      </c>
      <c r="F284" s="251">
        <v>37822.875000000175</v>
      </c>
      <c r="G284" s="59">
        <f>SUM(E284-F284)</f>
        <v>352.19999999999709</v>
      </c>
      <c r="H284" s="523"/>
      <c r="I284" s="332" t="s">
        <v>5</v>
      </c>
      <c r="J284" s="63" t="s">
        <v>1672</v>
      </c>
      <c r="L284" s="50"/>
      <c r="N284" s="337">
        <f>SUM(Puntenklassement!D25)+(Puntenklassement!D34)+(Puntenklassement!D35)+(Puntenklassement!D40)+(Puntenklassement!D51)+(Puntenklassement!D71)+(Puntenklassement!D91)+(Puntenklassement!D92)+(Puntenklassement!D96)+(Puntenklassement!D97)</f>
        <v>26351</v>
      </c>
      <c r="O284" s="278" t="s">
        <v>4125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3277</v>
      </c>
      <c r="E285" s="251">
        <f>UCIRanking!B107</f>
        <v>36967.375000000218</v>
      </c>
      <c r="F285" s="251">
        <v>37407.82500000023</v>
      </c>
      <c r="G285" s="59">
        <f>SUM(E285-F285)</f>
        <v>-440.45000000001164</v>
      </c>
      <c r="H285" s="523"/>
      <c r="I285" s="332" t="s">
        <v>7</v>
      </c>
      <c r="J285" s="63" t="s">
        <v>4123</v>
      </c>
      <c r="L285" s="50"/>
      <c r="N285" s="337">
        <f>SUM(Puntenklassement!D17)+(Puntenklassement!D48)+(Puntenklassement!D54)+(Puntenklassement!D58)+(Puntenklassement!D67)+(Puntenklassement!D73)+(Puntenklassement!D74)+(Puntenklassement!D77)+(Puntenklassement!D84)+(Puntenklassement!D102)</f>
        <v>26227</v>
      </c>
      <c r="O285" s="278" t="s">
        <v>4131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2013</v>
      </c>
      <c r="C286" s="103"/>
      <c r="D286" s="63" t="s">
        <v>3285</v>
      </c>
      <c r="E286" s="251">
        <f>UCIRanking!B108</f>
        <v>34079.212499999958</v>
      </c>
      <c r="F286" s="251">
        <v>34380.162499999969</v>
      </c>
      <c r="G286" s="59">
        <f>SUM(E286-F286)</f>
        <v>-300.95000000001164</v>
      </c>
      <c r="H286" s="523"/>
      <c r="I286" s="332" t="s">
        <v>8</v>
      </c>
      <c r="J286" s="63" t="s">
        <v>4122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25478</v>
      </c>
      <c r="O286" s="278" t="s">
        <v>4130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2011</v>
      </c>
      <c r="C287" s="103"/>
      <c r="D287" s="63" t="s">
        <v>3289</v>
      </c>
      <c r="E287" s="251">
        <f>UCIRanking!B40</f>
        <v>33459.562499999971</v>
      </c>
      <c r="F287" s="251">
        <v>33516.187499999978</v>
      </c>
      <c r="G287" s="59">
        <f>SUM(E287-F287)</f>
        <v>-56.625000000007276</v>
      </c>
      <c r="H287" s="523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25092</v>
      </c>
      <c r="O287" s="219" t="s">
        <v>4127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2007</v>
      </c>
      <c r="C288" s="9"/>
      <c r="D288" s="63" t="s">
        <v>3291</v>
      </c>
      <c r="E288" s="251">
        <f>UCIRanking!B9</f>
        <v>29962.624999999967</v>
      </c>
      <c r="F288" s="251">
        <v>29859.149999999969</v>
      </c>
      <c r="G288" s="59">
        <f>SUM(E288-F288)</f>
        <v>103.47499999999854</v>
      </c>
      <c r="H288" s="523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25008</v>
      </c>
      <c r="O288" s="219" t="s">
        <v>4129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2161</v>
      </c>
      <c r="D289" s="63" t="s">
        <v>3294</v>
      </c>
      <c r="E289" s="251">
        <f>UCIRanking!B83</f>
        <v>27053.150000000103</v>
      </c>
      <c r="F289" s="251">
        <v>26566.400000000103</v>
      </c>
      <c r="G289" s="59">
        <f>SUM(E289-F289)</f>
        <v>486.75</v>
      </c>
      <c r="H289" s="523"/>
      <c r="I289" s="282" t="s">
        <v>14</v>
      </c>
      <c r="J289" s="63" t="s">
        <v>4124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23209</v>
      </c>
      <c r="O289" s="278" t="s">
        <v>4133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2029</v>
      </c>
      <c r="D290" s="63" t="s">
        <v>3300</v>
      </c>
      <c r="E290" s="251">
        <f>UCIRanking!B30</f>
        <v>26212.375000000065</v>
      </c>
      <c r="F290" s="251">
        <v>25552.750000000065</v>
      </c>
      <c r="G290" s="59">
        <f>SUM(E290-F290)</f>
        <v>659.625</v>
      </c>
      <c r="H290" s="523"/>
      <c r="I290" s="282" t="s">
        <v>16</v>
      </c>
      <c r="J290" s="63" t="s">
        <v>2157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22129</v>
      </c>
      <c r="O290" s="63" t="s">
        <v>4132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2027</v>
      </c>
      <c r="D291" s="63" t="s">
        <v>3296</v>
      </c>
      <c r="E291" s="251">
        <f>UCIRanking!B14</f>
        <v>26117.975000000042</v>
      </c>
      <c r="F291" s="251">
        <v>25408.675000000047</v>
      </c>
      <c r="G291" s="59">
        <f>SUM(E291-F291)</f>
        <v>709.29999999999563</v>
      </c>
      <c r="H291" s="523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4520</v>
      </c>
      <c r="D292" s="63" t="s">
        <v>3295</v>
      </c>
      <c r="E292" s="251">
        <f>UCIRanking!B50</f>
        <v>25396.050000000087</v>
      </c>
      <c r="F292" s="251">
        <v>24817.100000000089</v>
      </c>
      <c r="G292" s="59">
        <f>SUM(E292-F292)</f>
        <v>578.94999999999709</v>
      </c>
      <c r="H292" s="523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2031</v>
      </c>
      <c r="D293" s="63" t="s">
        <v>3299</v>
      </c>
      <c r="E293" s="251">
        <f>UCIRanking!B57</f>
        <v>25341.324999999964</v>
      </c>
      <c r="F293" s="251">
        <v>24678.074999999964</v>
      </c>
      <c r="G293" s="59">
        <f>SUM(E293-F293)</f>
        <v>663.25</v>
      </c>
      <c r="H293" s="523"/>
      <c r="I293" s="332"/>
      <c r="J293" s="104" t="s">
        <v>3392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6</v>
      </c>
      <c r="C294" s="9"/>
      <c r="D294" s="63" t="s">
        <v>3290</v>
      </c>
      <c r="E294" s="251">
        <f>UCIRanking!B111</f>
        <v>25301.212499999987</v>
      </c>
      <c r="F294" s="251">
        <v>25673.037499999991</v>
      </c>
      <c r="G294" s="59">
        <f>SUM(E294-F294)</f>
        <v>-371.82500000000437</v>
      </c>
      <c r="H294" s="523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19</v>
      </c>
      <c r="C295" s="9"/>
      <c r="D295" s="63" t="s">
        <v>3292</v>
      </c>
      <c r="E295" s="251">
        <f>UCIRanking!B115</f>
        <v>24500.87499999992</v>
      </c>
      <c r="F295" s="251">
        <v>24788.899999999921</v>
      </c>
      <c r="G295" s="59">
        <f>SUM(E295-F295)</f>
        <v>-288.02500000000146</v>
      </c>
      <c r="H295" s="523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622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2034</v>
      </c>
      <c r="D296" s="63" t="s">
        <v>3301</v>
      </c>
      <c r="E296" s="251">
        <f>UCIRanking!B98</f>
        <v>23476.424999999948</v>
      </c>
      <c r="F296" s="251">
        <v>23003.024999999954</v>
      </c>
      <c r="G296" s="59">
        <f>SUM(E296-F296)</f>
        <v>473.39999999999418</v>
      </c>
      <c r="H296" s="523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461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2054</v>
      </c>
      <c r="D297" s="63" t="s">
        <v>3302</v>
      </c>
      <c r="E297" s="251">
        <f>UCIRanking!B79</f>
        <v>21260.449999999986</v>
      </c>
      <c r="F297" s="251">
        <v>20679.699999999986</v>
      </c>
      <c r="G297" s="59">
        <f>SUM(E297-F297)</f>
        <v>580.75</v>
      </c>
      <c r="H297" s="523"/>
      <c r="I297" s="332" t="s">
        <v>3</v>
      </c>
      <c r="J297" s="331" t="s">
        <v>425</v>
      </c>
      <c r="K297" s="420"/>
      <c r="L297" s="418"/>
      <c r="M297" s="419" t="s">
        <v>139</v>
      </c>
      <c r="N297" s="285">
        <v>432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19" t="s">
        <v>1645</v>
      </c>
      <c r="C298" s="9"/>
      <c r="D298" s="63" t="s">
        <v>3293</v>
      </c>
      <c r="E298" s="251">
        <f>UCIRanking!B117</f>
        <v>20678.224999999871</v>
      </c>
      <c r="F298" s="251">
        <v>20856.724999999871</v>
      </c>
      <c r="G298" s="59">
        <f>SUM(E298-F298)</f>
        <v>-178.5</v>
      </c>
      <c r="H298" s="523"/>
      <c r="I298" s="332" t="s">
        <v>5</v>
      </c>
      <c r="J298" s="331" t="s">
        <v>473</v>
      </c>
      <c r="K298" s="420"/>
      <c r="L298" s="418"/>
      <c r="M298" s="419" t="s">
        <v>139</v>
      </c>
      <c r="N298" s="285">
        <v>388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2028</v>
      </c>
      <c r="D299" s="63" t="s">
        <v>3303</v>
      </c>
      <c r="E299" s="251">
        <f>UCIRanking!B23</f>
        <v>20146.874999999978</v>
      </c>
      <c r="F299" s="251">
        <v>19493.374999999978</v>
      </c>
      <c r="G299" s="59">
        <f>SUM(E299-F299)</f>
        <v>653.5</v>
      </c>
      <c r="H299" s="523"/>
      <c r="I299" s="332" t="s">
        <v>7</v>
      </c>
      <c r="J299" s="331" t="s">
        <v>478</v>
      </c>
      <c r="K299" s="280"/>
      <c r="L299" s="418"/>
      <c r="M299" s="419" t="s">
        <v>138</v>
      </c>
      <c r="N299" s="285">
        <v>383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2033</v>
      </c>
      <c r="D300" s="63" t="s">
        <v>3297</v>
      </c>
      <c r="E300" s="251">
        <f>UCIRanking!B126</f>
        <v>19329.800000000007</v>
      </c>
      <c r="F300" s="251">
        <v>19401.675000000007</v>
      </c>
      <c r="G300" s="59">
        <f>SUM(E300-F300)</f>
        <v>-71.875</v>
      </c>
      <c r="H300" s="523"/>
      <c r="I300" s="332" t="s">
        <v>8</v>
      </c>
      <c r="J300" s="331" t="s">
        <v>491</v>
      </c>
      <c r="K300" s="280"/>
      <c r="L300" s="418"/>
      <c r="M300" s="419" t="s">
        <v>138</v>
      </c>
      <c r="N300" s="285">
        <v>342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78" t="s">
        <v>2032</v>
      </c>
      <c r="D301" s="63" t="s">
        <v>3298</v>
      </c>
      <c r="E301" s="251">
        <f>UCIRanking!B121</f>
        <v>19251.299999999894</v>
      </c>
      <c r="F301" s="251">
        <v>19353.449999999895</v>
      </c>
      <c r="G301" s="59">
        <f>SUM(E301-F301)</f>
        <v>-102.15000000000146</v>
      </c>
      <c r="H301" s="523"/>
      <c r="I301" s="332" t="s">
        <v>10</v>
      </c>
      <c r="J301" s="331" t="s">
        <v>517</v>
      </c>
      <c r="K301" s="420"/>
      <c r="L301" s="418"/>
      <c r="M301" s="419" t="s">
        <v>139</v>
      </c>
      <c r="N301" s="285">
        <v>338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2057</v>
      </c>
      <c r="D302" s="63" t="s">
        <v>3304</v>
      </c>
      <c r="E302" s="251">
        <f>UCIRanking!B18</f>
        <v>18993.912500000089</v>
      </c>
      <c r="F302" s="251">
        <v>18763.312500000091</v>
      </c>
      <c r="G302" s="59">
        <f>SUM(E302-F302)</f>
        <v>230.59999999999854</v>
      </c>
      <c r="H302" s="523"/>
      <c r="I302" s="332" t="s">
        <v>12</v>
      </c>
      <c r="J302" s="331" t="s">
        <v>604</v>
      </c>
      <c r="K302" s="418"/>
      <c r="L302" s="418"/>
      <c r="M302" s="419" t="s">
        <v>133</v>
      </c>
      <c r="N302" s="285">
        <v>329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3307</v>
      </c>
      <c r="E303" s="251">
        <f>UCIRanking!B55</f>
        <v>18408.800000000057</v>
      </c>
      <c r="F303" s="251">
        <v>18215.72500000006</v>
      </c>
      <c r="G303" s="59">
        <f>SUM(E303-F303)</f>
        <v>193.07499999999709</v>
      </c>
      <c r="H303" s="523"/>
      <c r="I303" s="332" t="s">
        <v>14</v>
      </c>
      <c r="J303" s="331" t="s">
        <v>1269</v>
      </c>
      <c r="K303" s="418"/>
      <c r="L303" s="418"/>
      <c r="M303" s="419" t="s">
        <v>136</v>
      </c>
      <c r="N303" s="285">
        <v>276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2056</v>
      </c>
      <c r="D304" s="63" t="s">
        <v>3306</v>
      </c>
      <c r="E304" s="251">
        <f>UCIRanking!B82</f>
        <v>17662.962500000114</v>
      </c>
      <c r="F304" s="251">
        <v>17361.037500000111</v>
      </c>
      <c r="G304" s="59">
        <f>SUM(E304-F304)</f>
        <v>301.92500000000291</v>
      </c>
      <c r="H304" s="523"/>
      <c r="I304" s="332" t="s">
        <v>16</v>
      </c>
      <c r="J304" s="331" t="s">
        <v>516</v>
      </c>
      <c r="K304" s="418"/>
      <c r="L304" s="418"/>
      <c r="M304" s="419" t="s">
        <v>136</v>
      </c>
      <c r="N304" s="285">
        <v>275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2008</v>
      </c>
      <c r="C305" s="213"/>
      <c r="D305" s="63" t="s">
        <v>3305</v>
      </c>
      <c r="E305" s="251">
        <f>UCIRanking!B112</f>
        <v>13790.974999999858</v>
      </c>
      <c r="F305" s="251">
        <v>13857.549999999859</v>
      </c>
      <c r="G305" s="59">
        <f>SUM(E305-F305)</f>
        <v>-66.575000000000728</v>
      </c>
      <c r="H305" s="523"/>
      <c r="I305" s="332" t="s">
        <v>18</v>
      </c>
      <c r="J305" s="331" t="s">
        <v>566</v>
      </c>
      <c r="K305" s="420"/>
      <c r="L305" s="418"/>
      <c r="M305" s="419" t="s">
        <v>139</v>
      </c>
      <c r="N305" s="285">
        <v>271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3308</v>
      </c>
      <c r="E306" s="251">
        <f>UCIRanking!B123</f>
        <v>12376.58749999998</v>
      </c>
      <c r="F306" s="251">
        <v>12480.137499999979</v>
      </c>
      <c r="G306" s="59">
        <f>SUM(E306-F306)</f>
        <v>-103.54999999999927</v>
      </c>
      <c r="H306" s="523"/>
      <c r="I306" s="332" t="s">
        <v>20</v>
      </c>
      <c r="J306" s="206" t="s">
        <v>2293</v>
      </c>
      <c r="K306" s="418"/>
      <c r="L306" s="418"/>
      <c r="M306" s="419" t="s">
        <v>133</v>
      </c>
      <c r="N306" s="285">
        <v>257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3309</v>
      </c>
      <c r="E307" s="251">
        <f>UCIRanking!B113</f>
        <v>10769.225000000002</v>
      </c>
      <c r="F307" s="251">
        <v>11059.45</v>
      </c>
      <c r="G307" s="59">
        <f>SUM(E307-F307)</f>
        <v>-290.22499999999854</v>
      </c>
      <c r="H307" s="523"/>
      <c r="I307" s="332" t="s">
        <v>22</v>
      </c>
      <c r="J307" s="331" t="s">
        <v>1002</v>
      </c>
      <c r="K307" s="280"/>
      <c r="L307" s="418"/>
      <c r="M307" s="419" t="s">
        <v>138</v>
      </c>
      <c r="N307" s="285">
        <v>256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158</v>
      </c>
      <c r="C308" s="103"/>
      <c r="D308" s="63" t="s">
        <v>3310</v>
      </c>
      <c r="E308" s="251">
        <f>UCIRanking!B125</f>
        <v>9897.8124999999782</v>
      </c>
      <c r="F308" s="251">
        <v>10078.287499999977</v>
      </c>
      <c r="G308" s="59">
        <f>SUM(E308-F308)</f>
        <v>-180.47499999999854</v>
      </c>
      <c r="H308" s="523"/>
      <c r="I308" s="332" t="s">
        <v>24</v>
      </c>
      <c r="J308" s="331" t="s">
        <v>1733</v>
      </c>
      <c r="K308" s="418"/>
      <c r="L308" s="418"/>
      <c r="M308" s="419" t="s">
        <v>140</v>
      </c>
      <c r="N308" s="285">
        <v>247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769</v>
      </c>
      <c r="C309" s="103"/>
      <c r="D309" s="63" t="s">
        <v>3311</v>
      </c>
      <c r="E309" s="251">
        <f>UCIRanking!B109</f>
        <v>9502.8000000000247</v>
      </c>
      <c r="F309" s="251">
        <v>9794.8750000000255</v>
      </c>
      <c r="G309" s="59">
        <f>SUM(E309-F309)</f>
        <v>-292.07500000000073</v>
      </c>
      <c r="H309" s="523"/>
      <c r="I309" s="332" t="s">
        <v>26</v>
      </c>
      <c r="J309" s="331" t="s">
        <v>468</v>
      </c>
      <c r="K309" s="280"/>
      <c r="L309" s="418"/>
      <c r="M309" s="419" t="s">
        <v>138</v>
      </c>
      <c r="N309" s="285">
        <v>247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278" t="s">
        <v>35</v>
      </c>
      <c r="C310" s="103"/>
      <c r="D310" s="63" t="s">
        <v>3312</v>
      </c>
      <c r="E310" s="251">
        <f>UCIRanking!B128</f>
        <v>9000.9375000000073</v>
      </c>
      <c r="F310" s="251">
        <v>9212.6625000000095</v>
      </c>
      <c r="G310" s="59">
        <f>SUM(E310-F310)</f>
        <v>-211.72500000000218</v>
      </c>
      <c r="H310" s="523"/>
      <c r="I310" s="332" t="s">
        <v>28</v>
      </c>
      <c r="J310" s="331" t="s">
        <v>602</v>
      </c>
      <c r="K310" s="418"/>
      <c r="L310" s="418"/>
      <c r="M310" s="419" t="s">
        <v>140</v>
      </c>
      <c r="N310" s="285">
        <v>240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278" t="s">
        <v>4</v>
      </c>
      <c r="C311" s="103"/>
      <c r="D311" s="63" t="s">
        <v>3313</v>
      </c>
      <c r="E311" s="251">
        <f>UCIRanking!B110</f>
        <v>8560.2124999999978</v>
      </c>
      <c r="F311" s="251">
        <v>8812.5624999999964</v>
      </c>
      <c r="G311" s="59">
        <f>SUM(E311-F311)</f>
        <v>-252.34999999999854</v>
      </c>
      <c r="H311" s="523"/>
      <c r="I311" s="332" t="s">
        <v>30</v>
      </c>
      <c r="J311" s="331" t="s">
        <v>1263</v>
      </c>
      <c r="K311" s="418"/>
      <c r="L311" s="418"/>
      <c r="M311" s="419" t="s">
        <v>133</v>
      </c>
      <c r="N311" s="285">
        <v>236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3393</v>
      </c>
      <c r="D312" s="63" t="s">
        <v>3367</v>
      </c>
      <c r="E312" s="251">
        <f>UCIRanking!B25</f>
        <v>7365.1000000000031</v>
      </c>
      <c r="F312" s="251">
        <v>6544.3999999999987</v>
      </c>
      <c r="G312" s="59">
        <f>SUM(E312-F312)</f>
        <v>820.70000000000437</v>
      </c>
      <c r="H312" s="523"/>
      <c r="I312" s="332" t="s">
        <v>32</v>
      </c>
      <c r="J312" s="331" t="s">
        <v>414</v>
      </c>
      <c r="K312" s="418"/>
      <c r="L312" s="418"/>
      <c r="M312" s="419" t="s">
        <v>140</v>
      </c>
      <c r="N312" s="285">
        <v>234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3394</v>
      </c>
      <c r="D313" s="63" t="s">
        <v>3368</v>
      </c>
      <c r="E313" s="251">
        <f>UCIRanking!B15</f>
        <v>7145.5999999999949</v>
      </c>
      <c r="F313" s="251">
        <v>6465.2999999999947</v>
      </c>
      <c r="G313" s="59">
        <f>SUM(E313-F313)</f>
        <v>680.30000000000018</v>
      </c>
      <c r="H313" s="523"/>
      <c r="I313" s="332" t="s">
        <v>34</v>
      </c>
      <c r="J313" s="331" t="s">
        <v>518</v>
      </c>
      <c r="K313" s="418"/>
      <c r="L313" s="418"/>
      <c r="M313" s="419" t="s">
        <v>133</v>
      </c>
      <c r="N313" s="285">
        <v>219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3383</v>
      </c>
      <c r="D314" s="63" t="s">
        <v>3356</v>
      </c>
      <c r="E314" s="251">
        <f>UCIRanking!B56</f>
        <v>6931.7999999999911</v>
      </c>
      <c r="F314" s="251">
        <v>5970.8999999999924</v>
      </c>
      <c r="G314" s="59">
        <f>SUM(E314-F314)</f>
        <v>960.89999999999873</v>
      </c>
      <c r="H314" s="523"/>
      <c r="I314" s="332" t="s">
        <v>36</v>
      </c>
      <c r="J314" s="331" t="s">
        <v>479</v>
      </c>
      <c r="K314" s="421"/>
      <c r="L314" s="421"/>
      <c r="M314" s="419" t="s">
        <v>132</v>
      </c>
      <c r="N314" s="285">
        <v>203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3382</v>
      </c>
      <c r="D315" s="63" t="s">
        <v>3355</v>
      </c>
      <c r="E315" s="251">
        <f>UCIRanking!B60</f>
        <v>6915.7000000000007</v>
      </c>
      <c r="F315" s="251">
        <v>5808.1000000000013</v>
      </c>
      <c r="G315" s="59">
        <f>SUM(E315-F315)</f>
        <v>1107.5999999999995</v>
      </c>
      <c r="H315" s="523"/>
      <c r="I315" s="332" t="s">
        <v>38</v>
      </c>
      <c r="J315" s="331" t="s">
        <v>455</v>
      </c>
      <c r="K315" s="418"/>
      <c r="L315" s="418"/>
      <c r="M315" s="419" t="s">
        <v>133</v>
      </c>
      <c r="N315" s="285">
        <v>197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3391</v>
      </c>
      <c r="D316" s="63" t="s">
        <v>3365</v>
      </c>
      <c r="E316" s="251">
        <f>UCIRanking!B91</f>
        <v>6900.5</v>
      </c>
      <c r="F316" s="251">
        <v>5555.5999999999995</v>
      </c>
      <c r="G316" s="59">
        <f>SUM(E316-F316)</f>
        <v>1344.9000000000005</v>
      </c>
      <c r="H316" s="523"/>
      <c r="I316" s="332" t="s">
        <v>145</v>
      </c>
      <c r="J316" s="331" t="s">
        <v>462</v>
      </c>
      <c r="K316" s="418"/>
      <c r="L316" s="418"/>
      <c r="M316" s="419" t="s">
        <v>133</v>
      </c>
      <c r="N316" s="285">
        <v>185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3390</v>
      </c>
      <c r="D317" s="63" t="s">
        <v>3363</v>
      </c>
      <c r="E317" s="251">
        <f>UCIRanking!B72</f>
        <v>6858.5000000000027</v>
      </c>
      <c r="F317" s="251">
        <v>5837.8000000000029</v>
      </c>
      <c r="G317" s="59">
        <f>SUM(E317-F317)</f>
        <v>1020.6999999999998</v>
      </c>
      <c r="H317" s="523"/>
      <c r="I317" s="332" t="s">
        <v>146</v>
      </c>
      <c r="J317" s="331" t="s">
        <v>2067</v>
      </c>
      <c r="K317" s="418"/>
      <c r="L317" s="418"/>
      <c r="M317" s="419" t="s">
        <v>136</v>
      </c>
      <c r="N317" s="285">
        <v>183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3380</v>
      </c>
      <c r="D318" s="63" t="s">
        <v>3353</v>
      </c>
      <c r="E318" s="251">
        <f>UCIRanking!B48</f>
        <v>6790.8500000000022</v>
      </c>
      <c r="F318" s="251">
        <v>5885.5000000000009</v>
      </c>
      <c r="G318" s="59">
        <f>SUM(E318-F318)</f>
        <v>905.35000000000127</v>
      </c>
      <c r="H318" s="523"/>
      <c r="I318" s="282" t="s">
        <v>147</v>
      </c>
      <c r="J318" s="331" t="s">
        <v>1692</v>
      </c>
      <c r="K318" s="280"/>
      <c r="L318" s="418"/>
      <c r="M318" s="419" t="s">
        <v>134</v>
      </c>
      <c r="N318" s="285">
        <v>175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3378</v>
      </c>
      <c r="D319" s="63" t="s">
        <v>3351</v>
      </c>
      <c r="E319" s="251">
        <f>UCIRanking!B67</f>
        <v>6744.3500000000049</v>
      </c>
      <c r="F319" s="251">
        <v>5954.2000000000025</v>
      </c>
      <c r="G319" s="59">
        <f>SUM(E319-F319)</f>
        <v>790.15000000000236</v>
      </c>
      <c r="H319" s="523"/>
      <c r="I319" s="332" t="s">
        <v>151</v>
      </c>
      <c r="J319" s="331" t="s">
        <v>442</v>
      </c>
      <c r="K319" s="418"/>
      <c r="L319" s="418"/>
      <c r="M319" s="419" t="s">
        <v>140</v>
      </c>
      <c r="N319" s="285">
        <v>167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3406</v>
      </c>
      <c r="D320" s="63" t="s">
        <v>3372</v>
      </c>
      <c r="E320" s="251">
        <f>UCIRanking!B45</f>
        <v>6729.1500000000024</v>
      </c>
      <c r="F320" s="251">
        <v>5929.0000000000027</v>
      </c>
      <c r="G320" s="59">
        <f>SUM(E320-F320)</f>
        <v>800.14999999999964</v>
      </c>
      <c r="H320" s="523"/>
      <c r="I320" s="332" t="s">
        <v>157</v>
      </c>
      <c r="J320" s="331" t="s">
        <v>640</v>
      </c>
      <c r="K320" s="418"/>
      <c r="L320" s="418"/>
      <c r="M320" s="419" t="s">
        <v>133</v>
      </c>
      <c r="N320" s="285">
        <v>167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3407</v>
      </c>
      <c r="D321" s="63" t="s">
        <v>3364</v>
      </c>
      <c r="E321" s="251">
        <f>UCIRanking!B88</f>
        <v>6522.2500000000009</v>
      </c>
      <c r="F321" s="251">
        <v>5337.1</v>
      </c>
      <c r="G321" s="59">
        <f>SUM(E321-F321)</f>
        <v>1185.1500000000005</v>
      </c>
      <c r="H321" s="523"/>
      <c r="I321" s="332" t="s">
        <v>159</v>
      </c>
      <c r="J321" s="331" t="s">
        <v>525</v>
      </c>
      <c r="K321" s="28"/>
      <c r="L321" s="418"/>
      <c r="M321" s="419" t="s">
        <v>137</v>
      </c>
      <c r="N321" s="285">
        <v>165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2505</v>
      </c>
      <c r="B322" s="63" t="s">
        <v>1641</v>
      </c>
      <c r="D322" s="63" t="s">
        <v>3314</v>
      </c>
      <c r="E322" s="251">
        <f>UCIRanking!B116</f>
        <v>6510.8999999999533</v>
      </c>
      <c r="F322" s="251">
        <v>6587.2749999999514</v>
      </c>
      <c r="G322" s="59">
        <f>SUM(E322-F322)</f>
        <v>-76.374999999998181</v>
      </c>
      <c r="H322" s="523"/>
      <c r="I322" s="332" t="s">
        <v>160</v>
      </c>
      <c r="J322" s="331" t="s">
        <v>508</v>
      </c>
      <c r="K322" s="418"/>
      <c r="L322" s="418"/>
      <c r="M322" s="1" t="s">
        <v>131</v>
      </c>
      <c r="N322" s="285">
        <v>162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3323</v>
      </c>
      <c r="B323" s="63" t="s">
        <v>3405</v>
      </c>
      <c r="D323" s="63" t="s">
        <v>3371</v>
      </c>
      <c r="E323" s="251">
        <f>UCIRanking!B77</f>
        <v>6486.6000000000031</v>
      </c>
      <c r="F323" s="251">
        <v>5489.5</v>
      </c>
      <c r="G323" s="59">
        <f>SUM(E323-F323)</f>
        <v>997.10000000000309</v>
      </c>
      <c r="H323" s="523"/>
      <c r="I323" s="332" t="s">
        <v>161</v>
      </c>
      <c r="J323" s="206" t="s">
        <v>2337</v>
      </c>
      <c r="K323" s="280"/>
      <c r="L323" s="418"/>
      <c r="M323" s="419" t="s">
        <v>134</v>
      </c>
      <c r="N323" s="285">
        <v>162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3324</v>
      </c>
      <c r="B324" s="63" t="s">
        <v>3402</v>
      </c>
      <c r="D324" s="63" t="s">
        <v>3369</v>
      </c>
      <c r="E324" s="251">
        <f>UCIRanking!B39</f>
        <v>6457.1999999999989</v>
      </c>
      <c r="F324" s="251">
        <v>5735.0999999999995</v>
      </c>
      <c r="G324" s="59">
        <f>SUM(E324-F324)</f>
        <v>722.09999999999945</v>
      </c>
      <c r="H324" s="523"/>
      <c r="I324" s="332" t="s">
        <v>163</v>
      </c>
      <c r="J324" s="331" t="s">
        <v>507</v>
      </c>
      <c r="K324" s="418"/>
      <c r="L324" s="418"/>
      <c r="M324" s="419" t="s">
        <v>133</v>
      </c>
      <c r="N324" s="285">
        <v>159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3325</v>
      </c>
      <c r="B325" s="63" t="s">
        <v>3403</v>
      </c>
      <c r="D325" s="63" t="s">
        <v>3370</v>
      </c>
      <c r="E325" s="251">
        <f>UCIRanking!B100</f>
        <v>6444.1000000000022</v>
      </c>
      <c r="F325" s="251">
        <v>5692.4000000000024</v>
      </c>
      <c r="G325" s="59">
        <f>SUM(E325-F325)</f>
        <v>751.69999999999982</v>
      </c>
      <c r="H325" s="523"/>
      <c r="I325" s="282" t="s">
        <v>275</v>
      </c>
      <c r="J325" s="206" t="s">
        <v>2558</v>
      </c>
      <c r="K325" s="418"/>
      <c r="L325" s="418"/>
      <c r="M325" s="1" t="s">
        <v>131</v>
      </c>
      <c r="N325" s="285">
        <v>156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3326</v>
      </c>
      <c r="B326" s="63" t="s">
        <v>3389</v>
      </c>
      <c r="D326" s="63" t="s">
        <v>3362</v>
      </c>
      <c r="E326" s="251">
        <f>UCIRanking!B61</f>
        <v>6359.3500000000031</v>
      </c>
      <c r="F326" s="251">
        <v>5216.5500000000029</v>
      </c>
      <c r="G326" s="59">
        <f>SUM(E326-F326)</f>
        <v>1142.8000000000002</v>
      </c>
      <c r="H326" s="523"/>
      <c r="I326" s="282" t="s">
        <v>276</v>
      </c>
      <c r="J326" s="331" t="s">
        <v>2076</v>
      </c>
      <c r="K326" s="421"/>
      <c r="L326" s="421"/>
      <c r="M326" s="419" t="s">
        <v>130</v>
      </c>
      <c r="N326" s="285">
        <v>153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3327</v>
      </c>
      <c r="B327" s="63" t="s">
        <v>3379</v>
      </c>
      <c r="D327" s="63" t="s">
        <v>3352</v>
      </c>
      <c r="E327" s="251">
        <f>UCIRanking!B24</f>
        <v>6021.1999999999989</v>
      </c>
      <c r="F327" s="251">
        <v>5512.4</v>
      </c>
      <c r="G327" s="59">
        <f>SUM(E327-F327)</f>
        <v>508.79999999999927</v>
      </c>
      <c r="H327" s="523"/>
      <c r="I327" s="282" t="s">
        <v>277</v>
      </c>
      <c r="J327" s="331" t="s">
        <v>653</v>
      </c>
      <c r="K327" s="28"/>
      <c r="L327" s="276"/>
      <c r="M327" s="419" t="s">
        <v>129</v>
      </c>
      <c r="N327" s="285">
        <v>150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3328</v>
      </c>
      <c r="B328" s="63" t="s">
        <v>180</v>
      </c>
      <c r="D328" s="63" t="s">
        <v>3366</v>
      </c>
      <c r="E328" s="251">
        <f>UCIRanking!B99</f>
        <v>6004.2000000000007</v>
      </c>
      <c r="F328" s="251">
        <v>5416.6000000000013</v>
      </c>
      <c r="G328" s="59">
        <f>SUM(E328-F328)</f>
        <v>587.59999999999945</v>
      </c>
      <c r="H328" s="523"/>
      <c r="I328" s="282" t="s">
        <v>278</v>
      </c>
      <c r="J328" s="331" t="s">
        <v>469</v>
      </c>
      <c r="K328" s="418"/>
      <c r="L328" s="418"/>
      <c r="M328" s="1" t="s">
        <v>131</v>
      </c>
      <c r="N328" s="285">
        <v>150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3329</v>
      </c>
      <c r="B329" s="63" t="s">
        <v>3381</v>
      </c>
      <c r="D329" s="63" t="s">
        <v>3354</v>
      </c>
      <c r="E329" s="251">
        <f>UCIRanking!B44</f>
        <v>5969.3</v>
      </c>
      <c r="F329" s="251">
        <v>5136.199999999998</v>
      </c>
      <c r="G329" s="59">
        <f>SUM(E329-F329)</f>
        <v>833.10000000000218</v>
      </c>
      <c r="H329" s="523"/>
      <c r="I329" s="282" t="s">
        <v>735</v>
      </c>
      <c r="J329" s="331" t="s">
        <v>957</v>
      </c>
      <c r="K329" s="280"/>
      <c r="L329" s="418"/>
      <c r="M329" s="419" t="s">
        <v>138</v>
      </c>
      <c r="N329" s="285">
        <v>149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3330</v>
      </c>
      <c r="B330" s="63" t="s">
        <v>3375</v>
      </c>
      <c r="D330" s="63" t="s">
        <v>3348</v>
      </c>
      <c r="E330" s="251">
        <f>UCIRanking!B12</f>
        <v>5955.5000000000036</v>
      </c>
      <c r="F330" s="251">
        <v>5402.5000000000027</v>
      </c>
      <c r="G330" s="59">
        <f>SUM(E330-F330)</f>
        <v>553.00000000000091</v>
      </c>
      <c r="H330" s="523"/>
      <c r="I330" s="282" t="s">
        <v>736</v>
      </c>
      <c r="J330" s="331" t="s">
        <v>422</v>
      </c>
      <c r="K330" s="418"/>
      <c r="L330" s="418"/>
      <c r="M330" s="419" t="s">
        <v>133</v>
      </c>
      <c r="N330" s="285">
        <v>143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3331</v>
      </c>
      <c r="B331" s="63" t="s">
        <v>3388</v>
      </c>
      <c r="D331" s="63" t="s">
        <v>3361</v>
      </c>
      <c r="E331" s="251">
        <f>UCIRanking!B86</f>
        <v>5923.1999999999953</v>
      </c>
      <c r="F331" s="251">
        <v>5274.7999999999965</v>
      </c>
      <c r="G331" s="59">
        <f>SUM(E331-F331)</f>
        <v>648.39999999999873</v>
      </c>
      <c r="H331" s="523"/>
      <c r="I331" s="282" t="s">
        <v>737</v>
      </c>
      <c r="J331" s="331" t="s">
        <v>497</v>
      </c>
      <c r="K331" s="280"/>
      <c r="L331" s="418"/>
      <c r="M331" s="419" t="s">
        <v>138</v>
      </c>
      <c r="N331" s="285">
        <v>137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3332</v>
      </c>
      <c r="B332" s="219" t="s">
        <v>1658</v>
      </c>
      <c r="D332" s="63" t="s">
        <v>3315</v>
      </c>
      <c r="E332" s="251">
        <f>UCIRanking!B131</f>
        <v>5905.2499999999627</v>
      </c>
      <c r="F332" s="251">
        <v>5945.0999999999631</v>
      </c>
      <c r="G332" s="59">
        <f>SUM(E332-F332)</f>
        <v>-39.850000000000364</v>
      </c>
      <c r="H332" s="523"/>
      <c r="I332" s="282" t="s">
        <v>739</v>
      </c>
      <c r="J332" s="331" t="s">
        <v>463</v>
      </c>
      <c r="K332" s="280"/>
      <c r="L332" s="418"/>
      <c r="M332" s="419" t="s">
        <v>134</v>
      </c>
      <c r="N332" s="285">
        <v>130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3333</v>
      </c>
      <c r="B333" s="63" t="s">
        <v>3385</v>
      </c>
      <c r="D333" s="63" t="s">
        <v>3358</v>
      </c>
      <c r="E333" s="251">
        <f>UCIRanking!B84</f>
        <v>5816.9999999999973</v>
      </c>
      <c r="F333" s="251">
        <v>5320.4999999999991</v>
      </c>
      <c r="G333" s="59">
        <f>SUM(E333-F333)</f>
        <v>496.49999999999818</v>
      </c>
      <c r="H333" s="523"/>
      <c r="I333" s="282" t="s">
        <v>745</v>
      </c>
      <c r="J333" s="331" t="s">
        <v>559</v>
      </c>
      <c r="K333" s="418"/>
      <c r="L333" s="418"/>
      <c r="M333" s="419" t="s">
        <v>133</v>
      </c>
      <c r="N333" s="285">
        <v>130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3334</v>
      </c>
      <c r="B334" s="219" t="s">
        <v>1651</v>
      </c>
      <c r="D334" s="63" t="s">
        <v>3316</v>
      </c>
      <c r="E334" s="251">
        <f>UCIRanking!B120</f>
        <v>5774.3500000000058</v>
      </c>
      <c r="F334" s="251">
        <v>5858.3500000000067</v>
      </c>
      <c r="G334" s="59">
        <f>SUM(E334-F334)</f>
        <v>-84.000000000000909</v>
      </c>
      <c r="H334" s="523"/>
      <c r="I334" s="282" t="s">
        <v>747</v>
      </c>
      <c r="J334" s="331" t="s">
        <v>465</v>
      </c>
      <c r="K334" s="418"/>
      <c r="L334" s="418"/>
      <c r="M334" s="419" t="s">
        <v>133</v>
      </c>
      <c r="N334" s="285">
        <v>130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3335</v>
      </c>
      <c r="B335" s="63" t="s">
        <v>3387</v>
      </c>
      <c r="D335" s="63" t="s">
        <v>3360</v>
      </c>
      <c r="E335" s="251">
        <f>UCIRanking!B34</f>
        <v>5767.55</v>
      </c>
      <c r="F335" s="251">
        <v>5154</v>
      </c>
      <c r="G335" s="59">
        <f>SUM(E335-F335)</f>
        <v>613.55000000000018</v>
      </c>
      <c r="H335" s="523"/>
      <c r="I335" s="282" t="s">
        <v>750</v>
      </c>
      <c r="J335" s="331" t="s">
        <v>530</v>
      </c>
      <c r="K335" s="280"/>
      <c r="L335" s="418"/>
      <c r="M335" s="419" t="s">
        <v>137</v>
      </c>
      <c r="N335" s="285">
        <v>128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3336</v>
      </c>
      <c r="B336" s="219" t="s">
        <v>1650</v>
      </c>
      <c r="D336" s="63" t="s">
        <v>3317</v>
      </c>
      <c r="E336" s="251">
        <f>UCIRanking!B122</f>
        <v>5754.00000000001</v>
      </c>
      <c r="F336" s="251">
        <v>5781.8500000000104</v>
      </c>
      <c r="G336" s="59">
        <f>SUM(E336-F336)</f>
        <v>-27.850000000000364</v>
      </c>
      <c r="H336" s="523"/>
      <c r="I336" s="282" t="s">
        <v>751</v>
      </c>
      <c r="J336" s="331" t="s">
        <v>426</v>
      </c>
      <c r="K336" s="420"/>
      <c r="L336" s="418"/>
      <c r="M336" s="419" t="s">
        <v>139</v>
      </c>
      <c r="N336" s="285">
        <v>128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3337</v>
      </c>
      <c r="B337" s="63" t="s">
        <v>3373</v>
      </c>
      <c r="D337" s="63" t="s">
        <v>2356</v>
      </c>
      <c r="E337" s="251">
        <f>UCIRanking!B54</f>
        <v>5695.1000000000067</v>
      </c>
      <c r="F337" s="251">
        <v>4986.7000000000044</v>
      </c>
      <c r="G337" s="59">
        <f>SUM(E337-F337)</f>
        <v>708.40000000000236</v>
      </c>
      <c r="H337" s="523"/>
      <c r="I337" s="282" t="s">
        <v>754</v>
      </c>
      <c r="J337" s="206" t="s">
        <v>4543</v>
      </c>
      <c r="K337" s="420"/>
      <c r="L337" s="418"/>
      <c r="M337" s="419"/>
      <c r="N337" s="285">
        <v>128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3338</v>
      </c>
      <c r="B338" s="63" t="s">
        <v>3377</v>
      </c>
      <c r="D338" s="63" t="s">
        <v>3350</v>
      </c>
      <c r="E338" s="251">
        <f>UCIRanking!B29</f>
        <v>5681.0000000000018</v>
      </c>
      <c r="F338" s="251">
        <v>4897.6000000000004</v>
      </c>
      <c r="G338" s="59">
        <f>SUM(E338-F338)</f>
        <v>783.40000000000146</v>
      </c>
      <c r="H338" s="523"/>
      <c r="I338" s="282" t="s">
        <v>756</v>
      </c>
      <c r="J338" s="331" t="s">
        <v>2058</v>
      </c>
      <c r="K338" s="418"/>
      <c r="L338" s="418"/>
      <c r="M338" s="419" t="s">
        <v>140</v>
      </c>
      <c r="N338" s="285">
        <v>126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3339</v>
      </c>
      <c r="B339" s="219" t="s">
        <v>1676</v>
      </c>
      <c r="D339" s="63" t="s">
        <v>3318</v>
      </c>
      <c r="E339" s="251">
        <f>UCIRanking!B127</f>
        <v>5579.4250000000229</v>
      </c>
      <c r="F339" s="251">
        <v>5683.7750000000233</v>
      </c>
      <c r="G339" s="59">
        <f>SUM(E339-F339)</f>
        <v>-104.35000000000036</v>
      </c>
      <c r="H339" s="523"/>
      <c r="I339" s="282" t="s">
        <v>761</v>
      </c>
      <c r="J339" s="331" t="s">
        <v>575</v>
      </c>
      <c r="K339" s="421"/>
      <c r="L339" s="421"/>
      <c r="M339" s="419" t="s">
        <v>135</v>
      </c>
      <c r="N339" s="285">
        <v>123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3340</v>
      </c>
      <c r="B340" s="63" t="s">
        <v>3386</v>
      </c>
      <c r="D340" s="63" t="s">
        <v>3359</v>
      </c>
      <c r="E340" s="251">
        <f>UCIRanking!B6</f>
        <v>5366.8000000000011</v>
      </c>
      <c r="F340" s="251">
        <v>4578.300000000002</v>
      </c>
      <c r="G340" s="59">
        <f>SUM(E340-F340)</f>
        <v>788.49999999999909</v>
      </c>
      <c r="H340" s="523"/>
      <c r="I340" s="282" t="s">
        <v>765</v>
      </c>
      <c r="J340" s="331" t="s">
        <v>1788</v>
      </c>
      <c r="K340" s="418"/>
      <c r="L340" s="418"/>
      <c r="M340" s="419" t="s">
        <v>136</v>
      </c>
      <c r="N340" s="285">
        <v>122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3341</v>
      </c>
      <c r="B341" s="219" t="s">
        <v>1648</v>
      </c>
      <c r="D341" s="63" t="s">
        <v>3319</v>
      </c>
      <c r="E341" s="251">
        <f>UCIRanking!B124</f>
        <v>5178.3750000000455</v>
      </c>
      <c r="F341" s="251">
        <v>5224.3250000000462</v>
      </c>
      <c r="G341" s="59">
        <f>SUM(E341-F341)</f>
        <v>-45.950000000000728</v>
      </c>
      <c r="H341" s="523"/>
      <c r="I341" s="282" t="s">
        <v>766</v>
      </c>
      <c r="J341" s="331" t="s">
        <v>519</v>
      </c>
      <c r="K341" s="418"/>
      <c r="L341" s="418"/>
      <c r="M341" s="419" t="s">
        <v>140</v>
      </c>
      <c r="N341" s="285">
        <v>120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3342</v>
      </c>
      <c r="B342" s="63" t="s">
        <v>3376</v>
      </c>
      <c r="D342" s="63" t="s">
        <v>3349</v>
      </c>
      <c r="E342" s="251">
        <f>UCIRanking!B21</f>
        <v>4941.2</v>
      </c>
      <c r="F342" s="251">
        <v>4401.8000000000011</v>
      </c>
      <c r="G342" s="59">
        <f>SUM(E342-F342)</f>
        <v>539.39999999999873</v>
      </c>
      <c r="H342" s="523"/>
      <c r="I342" s="282" t="s">
        <v>767</v>
      </c>
      <c r="J342" s="331" t="s">
        <v>587</v>
      </c>
      <c r="K342" s="28"/>
      <c r="L342" s="421"/>
      <c r="M342" s="419" t="s">
        <v>129</v>
      </c>
      <c r="N342" s="285">
        <v>114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3343</v>
      </c>
      <c r="B343" s="63" t="s">
        <v>3374</v>
      </c>
      <c r="D343" s="63" t="s">
        <v>3347</v>
      </c>
      <c r="E343" s="251">
        <f>UCIRanking!B104</f>
        <v>4710.1499999999978</v>
      </c>
      <c r="F343" s="251">
        <v>3958.8999999999992</v>
      </c>
      <c r="G343" s="59">
        <f>SUM(E343-F343)</f>
        <v>751.24999999999864</v>
      </c>
      <c r="H343" s="523"/>
      <c r="I343" s="282" t="s">
        <v>773</v>
      </c>
      <c r="J343" s="331" t="s">
        <v>630</v>
      </c>
      <c r="K343" s="421"/>
      <c r="L343" s="421"/>
      <c r="M343" s="419" t="s">
        <v>135</v>
      </c>
      <c r="N343" s="285">
        <v>111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3344</v>
      </c>
      <c r="B344" s="63" t="s">
        <v>3384</v>
      </c>
      <c r="D344" s="63" t="s">
        <v>3357</v>
      </c>
      <c r="E344" s="251">
        <f>UCIRanking!B46</f>
        <v>4660.9000000000051</v>
      </c>
      <c r="F344" s="251">
        <v>3987.4000000000024</v>
      </c>
      <c r="G344" s="59">
        <f>SUM(E344-F344)</f>
        <v>673.50000000000273</v>
      </c>
      <c r="H344" s="523"/>
      <c r="I344" s="282" t="s">
        <v>781</v>
      </c>
      <c r="J344" s="206" t="s">
        <v>2621</v>
      </c>
      <c r="K344" s="421"/>
      <c r="L344" s="421"/>
      <c r="M344" s="419" t="s">
        <v>135</v>
      </c>
      <c r="N344" s="285">
        <v>110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3345</v>
      </c>
      <c r="B345" s="63" t="s">
        <v>774</v>
      </c>
      <c r="D345" s="63" t="s">
        <v>3320</v>
      </c>
      <c r="E345" s="251">
        <f>UCIRanking!B114</f>
        <v>3389.2624999999825</v>
      </c>
      <c r="F345" s="251">
        <v>3485.174999999982</v>
      </c>
      <c r="G345" s="59">
        <f>SUM(E345-F345)</f>
        <v>-95.912499999999454</v>
      </c>
      <c r="H345" s="523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3346</v>
      </c>
      <c r="B346" s="63" t="s">
        <v>784</v>
      </c>
      <c r="D346" s="63" t="s">
        <v>3321</v>
      </c>
      <c r="E346" s="251">
        <f>UCIRanking!B118</f>
        <v>3018.4499999999935</v>
      </c>
      <c r="F346" s="251">
        <v>3105.8749999999936</v>
      </c>
      <c r="G346" s="59">
        <f>SUM(E346-F346)</f>
        <v>-87.425000000000182</v>
      </c>
      <c r="H346" s="523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1834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8789.8000000000011</v>
      </c>
      <c r="E352" s="339" t="s">
        <v>0</v>
      </c>
      <c r="F352" s="524" t="s">
        <v>2010</v>
      </c>
      <c r="G352" s="527"/>
      <c r="H352" s="67">
        <f>$SH$672</f>
        <v>8663.9000000000015</v>
      </c>
      <c r="I352" s="339" t="s">
        <v>0</v>
      </c>
      <c r="J352" s="509" t="s">
        <v>2012</v>
      </c>
      <c r="L352" s="67">
        <f>$RY$672</f>
        <v>8933.4000000000033</v>
      </c>
      <c r="M352" s="339" t="s">
        <v>0</v>
      </c>
      <c r="N352" s="278" t="s">
        <v>2027</v>
      </c>
      <c r="P352" s="67">
        <f>$YE$672</f>
        <v>8309.9000000000015</v>
      </c>
      <c r="Q352" s="339" t="s">
        <v>0</v>
      </c>
      <c r="R352" s="63" t="s">
        <v>3393</v>
      </c>
      <c r="T352" s="67">
        <f>$AOL$672</f>
        <v>8552.5000000000036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155</v>
      </c>
      <c r="D353" s="67">
        <f>$BR$672</f>
        <v>8315.8000000000029</v>
      </c>
      <c r="E353" s="339" t="s">
        <v>2</v>
      </c>
      <c r="F353" s="28" t="s">
        <v>37</v>
      </c>
      <c r="G353" s="59"/>
      <c r="H353" s="67">
        <f>$DB$672</f>
        <v>8613.9000000000015</v>
      </c>
      <c r="I353" s="339" t="s">
        <v>2</v>
      </c>
      <c r="J353" s="63" t="s">
        <v>2022</v>
      </c>
      <c r="L353" s="67">
        <f>$SQ$672</f>
        <v>7929.8000000000011</v>
      </c>
      <c r="M353" s="339" t="s">
        <v>2</v>
      </c>
      <c r="N353" s="281" t="s">
        <v>1659</v>
      </c>
      <c r="P353" s="67">
        <f>$PE$672</f>
        <v>8144.6</v>
      </c>
      <c r="Q353" s="339" t="s">
        <v>2</v>
      </c>
      <c r="R353" s="63" t="s">
        <v>3394</v>
      </c>
      <c r="T353" s="67">
        <f>$AOU$672</f>
        <v>8482.1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1662</v>
      </c>
      <c r="D354" s="67">
        <f>$HO$672</f>
        <v>8255</v>
      </c>
      <c r="E354" s="339" t="s">
        <v>3</v>
      </c>
      <c r="F354" s="412" t="s">
        <v>1653</v>
      </c>
      <c r="G354" s="341"/>
      <c r="H354" s="67">
        <f>$MK$672</f>
        <v>8583.9000000000033</v>
      </c>
      <c r="I354" s="339" t="s">
        <v>3</v>
      </c>
      <c r="J354" s="411" t="s">
        <v>1660</v>
      </c>
      <c r="K354" s="328"/>
      <c r="L354" s="67">
        <f>$NC$672</f>
        <v>7682.7999999999993</v>
      </c>
      <c r="M354" s="339" t="s">
        <v>3</v>
      </c>
      <c r="N354" s="281" t="s">
        <v>1657</v>
      </c>
      <c r="P354" s="67">
        <f>$RG$672</f>
        <v>8127.05</v>
      </c>
      <c r="Q354" s="339" t="s">
        <v>3</v>
      </c>
      <c r="R354" s="63" t="s">
        <v>3390</v>
      </c>
      <c r="T354" s="67">
        <f>$ANB$672</f>
        <v>8382.4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783</v>
      </c>
      <c r="D355" s="67">
        <f>$CJ$672</f>
        <v>8153.1000000000013</v>
      </c>
      <c r="E355" s="339" t="s">
        <v>5</v>
      </c>
      <c r="F355" s="412" t="s">
        <v>746</v>
      </c>
      <c r="G355" s="342"/>
      <c r="H355" s="343">
        <f>$FV$672</f>
        <v>8577.3000000000011</v>
      </c>
      <c r="I355" s="339" t="s">
        <v>5</v>
      </c>
      <c r="J355" s="412" t="s">
        <v>733</v>
      </c>
      <c r="K355" s="493"/>
      <c r="L355" s="343">
        <f>$HF$672</f>
        <v>7658.4500000000025</v>
      </c>
      <c r="M355" s="339" t="s">
        <v>5</v>
      </c>
      <c r="N355" s="281" t="s">
        <v>1656</v>
      </c>
      <c r="P355" s="67">
        <f>$QO$672</f>
        <v>8070</v>
      </c>
      <c r="Q355" s="339" t="s">
        <v>5</v>
      </c>
      <c r="R355" s="493" t="s">
        <v>3383</v>
      </c>
      <c r="S355" s="512"/>
      <c r="T355" s="343">
        <f>$AKQ$672</f>
        <v>8313.6999999999989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3153</v>
      </c>
      <c r="D356" s="67">
        <f>$G$672</f>
        <v>8131.8999999999978</v>
      </c>
      <c r="E356" s="332" t="s">
        <v>7</v>
      </c>
      <c r="F356" s="28" t="s">
        <v>9</v>
      </c>
      <c r="G356" s="59"/>
      <c r="H356" s="67">
        <f>$LS$672</f>
        <v>8455.4</v>
      </c>
      <c r="I356" s="332" t="s">
        <v>7</v>
      </c>
      <c r="J356" s="281" t="s">
        <v>1652</v>
      </c>
      <c r="K356" s="525"/>
      <c r="L356" s="526">
        <f>$OM$672</f>
        <v>7577.3999999999978</v>
      </c>
      <c r="M356" s="332" t="s">
        <v>3404</v>
      </c>
      <c r="N356" s="494" t="s">
        <v>2031</v>
      </c>
      <c r="O356" s="328"/>
      <c r="P356" s="346">
        <f>$ZF$672</f>
        <v>8041.5</v>
      </c>
      <c r="Q356" s="332" t="s">
        <v>7</v>
      </c>
      <c r="R356" s="278" t="s">
        <v>2029</v>
      </c>
      <c r="T356" s="67">
        <f>$ZO$672</f>
        <v>8295.2000000000007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142</v>
      </c>
      <c r="D357" s="67">
        <f>$DT$672</f>
        <v>8105.9</v>
      </c>
      <c r="E357" s="332" t="s">
        <v>8</v>
      </c>
      <c r="F357" s="28" t="s">
        <v>757</v>
      </c>
      <c r="G357" s="59"/>
      <c r="H357" s="67">
        <f>$LA$672</f>
        <v>8420.9000000000015</v>
      </c>
      <c r="I357" s="332" t="s">
        <v>8</v>
      </c>
      <c r="J357" s="281" t="s">
        <v>1655</v>
      </c>
      <c r="L357" s="67">
        <f>$PN$672</f>
        <v>7425.1999999999989</v>
      </c>
      <c r="M357" s="332" t="s">
        <v>8</v>
      </c>
      <c r="N357" s="528" t="s">
        <v>2006</v>
      </c>
      <c r="O357" s="525"/>
      <c r="P357" s="526">
        <f>$TI$672</f>
        <v>7802.4000000000024</v>
      </c>
      <c r="Q357" s="332" t="s">
        <v>8</v>
      </c>
      <c r="R357" s="63" t="s">
        <v>3382</v>
      </c>
      <c r="T357" s="67">
        <f>$AKH$672</f>
        <v>8030.4999999999991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762</v>
      </c>
      <c r="D358" s="67">
        <f>$FD$672</f>
        <v>8044.3000000000011</v>
      </c>
      <c r="E358" s="332" t="s">
        <v>10</v>
      </c>
      <c r="F358" s="281" t="s">
        <v>162</v>
      </c>
      <c r="G358" s="59"/>
      <c r="H358" s="67">
        <f>$IP$672</f>
        <v>8110.399999999996</v>
      </c>
      <c r="I358" s="332" t="s">
        <v>10</v>
      </c>
      <c r="J358" s="28" t="s">
        <v>734</v>
      </c>
      <c r="L358" s="67">
        <f>$LJ$672</f>
        <v>7364.1000000000022</v>
      </c>
      <c r="M358" s="332" t="s">
        <v>10</v>
      </c>
      <c r="N358" s="281" t="s">
        <v>1654</v>
      </c>
      <c r="P358" s="67">
        <f>$QX$672</f>
        <v>7594.2000000000007</v>
      </c>
      <c r="Q358" s="332" t="s">
        <v>10</v>
      </c>
      <c r="R358" s="63" t="s">
        <v>3406</v>
      </c>
      <c r="T358" s="67">
        <f>$AQE$672</f>
        <v>7998.8499999999995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749</v>
      </c>
      <c r="D359" s="67">
        <f>$EU$672</f>
        <v>8036.6</v>
      </c>
      <c r="E359" s="332" t="s">
        <v>12</v>
      </c>
      <c r="F359" s="28" t="s">
        <v>153</v>
      </c>
      <c r="G359" s="59"/>
      <c r="H359" s="67">
        <f>$JZ$672</f>
        <v>7840.6999999999989</v>
      </c>
      <c r="I359" s="332" t="s">
        <v>12</v>
      </c>
      <c r="J359" s="281" t="s">
        <v>771</v>
      </c>
      <c r="L359" s="67">
        <f>$MT$672</f>
        <v>7259.0000000000009</v>
      </c>
      <c r="M359" s="332" t="s">
        <v>12</v>
      </c>
      <c r="N359" s="278" t="s">
        <v>4520</v>
      </c>
      <c r="P359" s="67">
        <f>$XV$672</f>
        <v>7559.5999999999976</v>
      </c>
      <c r="Q359" s="332" t="s">
        <v>12</v>
      </c>
      <c r="R359" s="63" t="s">
        <v>3380</v>
      </c>
      <c r="T359" s="67">
        <f>$AJP$672</f>
        <v>7902.4500000000016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2869</v>
      </c>
      <c r="D360" s="67">
        <f>$Y$672</f>
        <v>7924.2999999999993</v>
      </c>
      <c r="E360" s="332" t="s">
        <v>14</v>
      </c>
      <c r="F360" s="28" t="s">
        <v>778</v>
      </c>
      <c r="G360" s="59"/>
      <c r="H360" s="67">
        <f>$GW$672</f>
        <v>7776.9999999999991</v>
      </c>
      <c r="I360" s="332" t="s">
        <v>14</v>
      </c>
      <c r="J360" s="28" t="s">
        <v>27</v>
      </c>
      <c r="L360" s="67">
        <f>$MB$672</f>
        <v>6979.2999999999993</v>
      </c>
      <c r="M360" s="332" t="s">
        <v>14</v>
      </c>
      <c r="N360" s="278" t="s">
        <v>2015</v>
      </c>
      <c r="O360" s="471"/>
      <c r="P360" s="67">
        <f>$VK$672</f>
        <v>7073.4500000000016</v>
      </c>
      <c r="Q360" s="332" t="s">
        <v>14</v>
      </c>
      <c r="R360" s="63" t="s">
        <v>3391</v>
      </c>
      <c r="T360" s="67">
        <f>$ANT$672</f>
        <v>7882.4000000000005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2868</v>
      </c>
      <c r="D361" s="67">
        <f>$P$672</f>
        <v>7896.9000000000015</v>
      </c>
      <c r="E361" s="332" t="s">
        <v>16</v>
      </c>
      <c r="F361" s="28" t="s">
        <v>796</v>
      </c>
      <c r="G361" s="59"/>
      <c r="H361" s="67">
        <f>$KI$672</f>
        <v>7751.8</v>
      </c>
      <c r="I361" s="332" t="s">
        <v>16</v>
      </c>
      <c r="J361" s="28" t="s">
        <v>13</v>
      </c>
      <c r="L361" s="67">
        <f>$NU$672</f>
        <v>6805.6000000000013</v>
      </c>
      <c r="M361" s="332" t="s">
        <v>16</v>
      </c>
      <c r="N361" s="281" t="s">
        <v>1643</v>
      </c>
      <c r="P361" s="67">
        <f>$UA$672</f>
        <v>7069.7999999999993</v>
      </c>
      <c r="Q361" s="332" t="s">
        <v>16</v>
      </c>
      <c r="R361" s="63" t="s">
        <v>3378</v>
      </c>
      <c r="T361" s="67">
        <f>$AIX$672</f>
        <v>7848.550000000002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1647</v>
      </c>
      <c r="D362" s="67">
        <f>$FM$672</f>
        <v>7880.1999999999989</v>
      </c>
      <c r="E362" s="332" t="s">
        <v>18</v>
      </c>
      <c r="F362" s="28" t="s">
        <v>2353</v>
      </c>
      <c r="G362" s="59"/>
      <c r="H362" s="67">
        <f>$HX$672</f>
        <v>7750.1999999999989</v>
      </c>
      <c r="I362" s="332" t="s">
        <v>18</v>
      </c>
      <c r="J362" s="28" t="s">
        <v>764</v>
      </c>
      <c r="L362" s="67">
        <f>$JQ$672</f>
        <v>6263.5999999999995</v>
      </c>
      <c r="M362" s="332" t="s">
        <v>18</v>
      </c>
      <c r="N362" s="278" t="s">
        <v>2161</v>
      </c>
      <c r="P362" s="67">
        <f>$XM$672</f>
        <v>6996.9999999999982</v>
      </c>
      <c r="Q362" s="332" t="s">
        <v>18</v>
      </c>
      <c r="R362" s="63" t="s">
        <v>3402</v>
      </c>
      <c r="T362" s="67">
        <f>$APD$672</f>
        <v>7757.8999999999987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2354</v>
      </c>
      <c r="D363" s="67">
        <f>$CA$672</f>
        <v>7814.7000000000007</v>
      </c>
      <c r="E363" s="332" t="s">
        <v>20</v>
      </c>
      <c r="F363" s="28" t="s">
        <v>738</v>
      </c>
      <c r="G363" s="59"/>
      <c r="H363" s="67">
        <f>$JH$672</f>
        <v>7672.2</v>
      </c>
      <c r="I363" s="332" t="s">
        <v>20</v>
      </c>
      <c r="J363" s="28" t="s">
        <v>763</v>
      </c>
      <c r="L363" s="67">
        <f>$NL$672</f>
        <v>6217.9000000000015</v>
      </c>
      <c r="M363" s="332" t="s">
        <v>20</v>
      </c>
      <c r="N363" s="524" t="s">
        <v>728</v>
      </c>
      <c r="O363" s="525"/>
      <c r="P363" s="526">
        <f>$TR$672</f>
        <v>6631.8999999999987</v>
      </c>
      <c r="Q363" s="332" t="s">
        <v>20</v>
      </c>
      <c r="R363" s="63" t="s">
        <v>3407</v>
      </c>
      <c r="T363" s="67">
        <f>$ANK$672</f>
        <v>7736.35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33</v>
      </c>
      <c r="D364" s="67">
        <f>$AZ$672</f>
        <v>7708.7000000000007</v>
      </c>
      <c r="E364" s="332" t="s">
        <v>22</v>
      </c>
      <c r="F364" s="28" t="s">
        <v>17</v>
      </c>
      <c r="G364" s="59"/>
      <c r="H364" s="67">
        <f>$DK$672</f>
        <v>7570.6</v>
      </c>
      <c r="I364" s="332" t="s">
        <v>22</v>
      </c>
      <c r="J364" s="28" t="s">
        <v>755</v>
      </c>
      <c r="L364" s="346">
        <f>$OV$672</f>
        <v>5595.9</v>
      </c>
      <c r="M364" s="332" t="s">
        <v>22</v>
      </c>
      <c r="N364" s="28" t="s">
        <v>782</v>
      </c>
      <c r="P364" s="67">
        <f>$QF$672</f>
        <v>6552.5</v>
      </c>
      <c r="Q364" s="332" t="s">
        <v>22</v>
      </c>
      <c r="R364" s="63" t="s">
        <v>3405</v>
      </c>
      <c r="T364" s="67">
        <f>$APV$672</f>
        <v>7616.2500000000027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748</v>
      </c>
      <c r="C365" s="328"/>
      <c r="D365" s="67">
        <f>$GN$672</f>
        <v>7657.5999999999995</v>
      </c>
      <c r="E365" s="332" t="s">
        <v>24</v>
      </c>
      <c r="F365" s="412" t="s">
        <v>23</v>
      </c>
      <c r="G365" s="341"/>
      <c r="H365" s="67">
        <f>$KR$672</f>
        <v>7340.0000000000018</v>
      </c>
      <c r="I365" s="347" t="s">
        <v>24</v>
      </c>
      <c r="J365" s="414" t="s">
        <v>3401</v>
      </c>
      <c r="K365" s="191"/>
      <c r="L365" s="67" t="e">
        <f>$RP$672</f>
        <v>#N/A</v>
      </c>
      <c r="M365" s="332" t="s">
        <v>24</v>
      </c>
      <c r="N365" s="411" t="s">
        <v>1644</v>
      </c>
      <c r="P365" s="67">
        <f>$US$672</f>
        <v>6547.949999999998</v>
      </c>
      <c r="Q365" s="332" t="s">
        <v>24</v>
      </c>
      <c r="R365" s="63" t="s">
        <v>3375</v>
      </c>
      <c r="T365" s="67">
        <f>$AHW$672</f>
        <v>7574.0000000000009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25</v>
      </c>
      <c r="C366" s="328"/>
      <c r="D366" s="343">
        <f>$BI$672</f>
        <v>7577.1</v>
      </c>
      <c r="E366" s="347" t="s">
        <v>26</v>
      </c>
      <c r="F366" s="413" t="s">
        <v>790</v>
      </c>
      <c r="G366" s="342"/>
      <c r="H366" s="343">
        <f>$IY$672</f>
        <v>6906.5000000000009</v>
      </c>
      <c r="I366" s="347" t="s">
        <v>26</v>
      </c>
      <c r="J366" s="28" t="s">
        <v>3396</v>
      </c>
      <c r="L366" s="67" t="e">
        <f>$WC$672</f>
        <v>#N/A</v>
      </c>
      <c r="M366" s="347" t="s">
        <v>26</v>
      </c>
      <c r="N366" s="494" t="s">
        <v>2014</v>
      </c>
      <c r="O366" s="493"/>
      <c r="P366" s="343">
        <f>$VB$672</f>
        <v>6244.2999999999993</v>
      </c>
      <c r="Q366" s="18" t="s">
        <v>26</v>
      </c>
      <c r="R366" s="63" t="s">
        <v>3389</v>
      </c>
      <c r="T366" s="67">
        <f>$AMS$672</f>
        <v>7431.4000000000005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524" t="s">
        <v>779</v>
      </c>
      <c r="C367" s="525"/>
      <c r="D367" s="67">
        <f>$AH$672</f>
        <v>7478.9</v>
      </c>
      <c r="E367" s="347" t="s">
        <v>28</v>
      </c>
      <c r="F367" s="28" t="s">
        <v>753</v>
      </c>
      <c r="G367" s="59"/>
      <c r="H367" s="344">
        <f>$EL$672</f>
        <v>6636.6</v>
      </c>
      <c r="I367" s="347" t="s">
        <v>28</v>
      </c>
      <c r="J367" s="28" t="s">
        <v>3397</v>
      </c>
      <c r="L367" s="67" t="e">
        <f>$ACR$672</f>
        <v>#N/A</v>
      </c>
      <c r="M367" s="347" t="s">
        <v>28</v>
      </c>
      <c r="N367" s="510" t="s">
        <v>2011</v>
      </c>
      <c r="P367" s="67">
        <f>$VT$672</f>
        <v>5667.7</v>
      </c>
      <c r="Q367" s="18" t="s">
        <v>28</v>
      </c>
      <c r="R367" s="63" t="s">
        <v>3403</v>
      </c>
      <c r="T367" s="67">
        <f>$APM$672</f>
        <v>7313.8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524" t="s">
        <v>141</v>
      </c>
      <c r="C368" s="525"/>
      <c r="D368" s="526">
        <f>$GE$672</f>
        <v>7398.7</v>
      </c>
      <c r="E368" s="347" t="s">
        <v>30</v>
      </c>
      <c r="F368" s="28" t="s">
        <v>3395</v>
      </c>
      <c r="G368" s="59"/>
      <c r="H368" s="67" t="e">
        <f>$EC$672</f>
        <v>#N/A</v>
      </c>
      <c r="I368" s="347" t="s">
        <v>30</v>
      </c>
      <c r="J368" s="28" t="s">
        <v>3398</v>
      </c>
      <c r="L368" s="67" t="e">
        <f>$WU$672</f>
        <v>#N/A</v>
      </c>
      <c r="M368" s="347" t="s">
        <v>30</v>
      </c>
      <c r="N368" s="278" t="s">
        <v>2007</v>
      </c>
      <c r="P368" s="67">
        <f>$WL$672</f>
        <v>5096.5999999999995</v>
      </c>
      <c r="Q368" s="18" t="s">
        <v>30</v>
      </c>
      <c r="R368" s="63" t="s">
        <v>180</v>
      </c>
      <c r="T368" s="67">
        <f>$AOC$672</f>
        <v>7227.2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143</v>
      </c>
      <c r="D369" s="67">
        <f>$CS$672</f>
        <v>7374.3999999999987</v>
      </c>
      <c r="E369" s="347" t="s">
        <v>32</v>
      </c>
      <c r="F369" s="412" t="s">
        <v>3399</v>
      </c>
      <c r="G369" s="59"/>
      <c r="H369" s="67" t="e">
        <f>$IG$672</f>
        <v>#N/A</v>
      </c>
      <c r="I369" s="347" t="s">
        <v>32</v>
      </c>
      <c r="J369" s="412" t="s">
        <v>3400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4045.6</v>
      </c>
      <c r="Q369" s="18" t="s">
        <v>32</v>
      </c>
      <c r="R369" s="63" t="s">
        <v>3387</v>
      </c>
      <c r="T369" s="67">
        <f>$AMA$672</f>
        <v>7199.35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3381</v>
      </c>
      <c r="S370" s="63"/>
      <c r="T370" s="67">
        <f>$AJY$672</f>
        <v>7174.300000000002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3388</v>
      </c>
      <c r="S371" s="63"/>
      <c r="T371" s="67">
        <f>$AMJ$672</f>
        <v>7118.2999999999984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Lenard Huijzer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Adri Willemstein</v>
      </c>
      <c r="P372" s="296"/>
      <c r="Q372" s="18" t="s">
        <v>38</v>
      </c>
      <c r="R372" s="278" t="s">
        <v>2034</v>
      </c>
      <c r="T372" s="67">
        <f>$ZX$672</f>
        <v>7062.5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Mark van Hoven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Kees Rijborz</v>
      </c>
      <c r="P373" s="296"/>
      <c r="Q373" s="18" t="s">
        <v>145</v>
      </c>
      <c r="R373" s="63" t="s">
        <v>3379</v>
      </c>
      <c r="T373" s="67">
        <f>$AJG$672</f>
        <v>7036.2999999999993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3385</v>
      </c>
      <c r="T374" s="67">
        <f>$ALI$672</f>
        <v>7029.699999999998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3373</v>
      </c>
      <c r="T375" s="67">
        <f>$AHE$672</f>
        <v>6812.5000000000018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3377</v>
      </c>
      <c r="T376" s="67">
        <f>$AIO$672</f>
        <v>6743.5500000000011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3386</v>
      </c>
      <c r="T377" s="67">
        <f>$ALR$672</f>
        <v>6717.9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2028</v>
      </c>
      <c r="S378" s="471"/>
      <c r="T378" s="67">
        <f>$AAP$672</f>
        <v>6542.7999999999984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2030</v>
      </c>
      <c r="T379" s="67">
        <f>$ABZ$672</f>
        <v>6366.5000000000009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2057</v>
      </c>
      <c r="T380" s="67">
        <f>$AAY$672</f>
        <v>6085.0499999999993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3384</v>
      </c>
      <c r="S381" s="3"/>
      <c r="T381" s="67">
        <f>$AKZ$672</f>
        <v>5991.1000000000031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63" t="s">
        <v>3374</v>
      </c>
      <c r="T382" s="67">
        <f>$AHN$672</f>
        <v>5949.5499999999993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3376</v>
      </c>
      <c r="T383" s="67">
        <f>$AIF$672</f>
        <v>5939.6999999999989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278" t="s">
        <v>2054</v>
      </c>
      <c r="S384" s="471"/>
      <c r="T384" s="67">
        <f>$AAG$672</f>
        <v>5742.8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81" t="s">
        <v>1</v>
      </c>
      <c r="T385" s="67">
        <f>$SZ$672</f>
        <v>5558.7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2056</v>
      </c>
      <c r="T386" s="67">
        <f>$ABQ$672</f>
        <v>4959.6000000000022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2027</v>
      </c>
      <c r="D391" s="67">
        <f>$YF$604</f>
        <v>2763.8</v>
      </c>
      <c r="E391" s="5" t="s">
        <v>0</v>
      </c>
      <c r="F391" s="63" t="s">
        <v>3393</v>
      </c>
      <c r="H391" s="67">
        <f>$AOM$610</f>
        <v>2010.4</v>
      </c>
      <c r="I391" s="5" t="s">
        <v>0</v>
      </c>
      <c r="J391" s="63" t="s">
        <v>3394</v>
      </c>
      <c r="L391" s="67">
        <f>$AOV$616</f>
        <v>1360.1</v>
      </c>
      <c r="M391" s="5" t="s">
        <v>0</v>
      </c>
      <c r="N391" s="278" t="s">
        <v>9</v>
      </c>
      <c r="P391" s="67">
        <f>$LT$622</f>
        <v>1251.1999999999998</v>
      </c>
      <c r="Q391" s="5" t="s">
        <v>0</v>
      </c>
      <c r="R391" s="63" t="s">
        <v>3394</v>
      </c>
      <c r="T391" s="67">
        <f>$AOV$628</f>
        <v>1003.1</v>
      </c>
      <c r="U391" s="5" t="s">
        <v>0</v>
      </c>
      <c r="V391" s="278" t="s">
        <v>2011</v>
      </c>
      <c r="X391" s="67">
        <f>$VU$634</f>
        <v>902.4</v>
      </c>
      <c r="Y391" s="5" t="s">
        <v>0</v>
      </c>
      <c r="Z391" s="63" t="s">
        <v>3406</v>
      </c>
      <c r="AB391" s="67">
        <f>$AQF$640</f>
        <v>641.19999999999993</v>
      </c>
      <c r="AC391" s="5" t="s">
        <v>0</v>
      </c>
      <c r="AD391" s="278" t="s">
        <v>143</v>
      </c>
      <c r="AF391" s="67">
        <f>$CT$646</f>
        <v>502.3</v>
      </c>
      <c r="AG391" s="5" t="s">
        <v>0</v>
      </c>
      <c r="AH391" s="63" t="s">
        <v>3402</v>
      </c>
      <c r="AJ391" s="67">
        <f>$APE$652</f>
        <v>599.90000000000009</v>
      </c>
      <c r="AK391" s="5" t="s">
        <v>0</v>
      </c>
      <c r="AL391" s="278" t="s">
        <v>13</v>
      </c>
      <c r="AN391" s="67">
        <f>$NV$658</f>
        <v>469.3</v>
      </c>
      <c r="AO391" s="5" t="s">
        <v>0</v>
      </c>
      <c r="AP391" s="63" t="s">
        <v>762</v>
      </c>
      <c r="AR391" s="67">
        <f>$FE$664</f>
        <v>333.8</v>
      </c>
      <c r="AS391" s="5" t="s">
        <v>0</v>
      </c>
      <c r="AT391" s="278" t="s">
        <v>15</v>
      </c>
      <c r="AV391" s="67">
        <f>$HY$670</f>
        <v>354.90000000000003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2736.1000000000004</v>
      </c>
      <c r="E392" s="5" t="s">
        <v>2</v>
      </c>
      <c r="F392" s="63" t="s">
        <v>3407</v>
      </c>
      <c r="H392" s="67">
        <f>$ANL$610</f>
        <v>1982.7000000000003</v>
      </c>
      <c r="I392" s="5" t="s">
        <v>2</v>
      </c>
      <c r="J392" s="63" t="s">
        <v>21</v>
      </c>
      <c r="L392" s="67">
        <f>$H$616</f>
        <v>1338.5</v>
      </c>
      <c r="M392" s="5" t="s">
        <v>2</v>
      </c>
      <c r="N392" s="278" t="s">
        <v>31</v>
      </c>
      <c r="P392" s="67">
        <f>$Z$622</f>
        <v>1153</v>
      </c>
      <c r="Q392" s="5" t="s">
        <v>2</v>
      </c>
      <c r="R392" s="63" t="s">
        <v>3393</v>
      </c>
      <c r="T392" s="67">
        <f>$AOM$628</f>
        <v>957.80000000000007</v>
      </c>
      <c r="U392" s="5" t="s">
        <v>2</v>
      </c>
      <c r="V392" s="219" t="s">
        <v>1659</v>
      </c>
      <c r="X392" s="67">
        <f>$PF$634</f>
        <v>862.9</v>
      </c>
      <c r="Y392" s="5" t="s">
        <v>2</v>
      </c>
      <c r="Z392" s="278" t="s">
        <v>9</v>
      </c>
      <c r="AB392" s="67">
        <f>$LT$640</f>
        <v>587.5</v>
      </c>
      <c r="AC392" s="5" t="s">
        <v>2</v>
      </c>
      <c r="AD392" s="278" t="s">
        <v>2030</v>
      </c>
      <c r="AF392" s="67">
        <f>$ACA$646</f>
        <v>439.5</v>
      </c>
      <c r="AG392" s="5" t="s">
        <v>2</v>
      </c>
      <c r="AH392" s="219" t="s">
        <v>1662</v>
      </c>
      <c r="AJ392" s="67">
        <f>$HP$652</f>
        <v>573.4</v>
      </c>
      <c r="AK392" s="5" t="s">
        <v>2</v>
      </c>
      <c r="AL392" s="63" t="s">
        <v>3407</v>
      </c>
      <c r="AN392" s="67">
        <f>$ANL$658</f>
        <v>448.20000000000005</v>
      </c>
      <c r="AO392" s="5" t="s">
        <v>2</v>
      </c>
      <c r="AP392" s="278" t="s">
        <v>800</v>
      </c>
      <c r="AR392" s="67">
        <f>$AR$664</f>
        <v>320.89999999999998</v>
      </c>
      <c r="AS392" s="5" t="s">
        <v>2</v>
      </c>
      <c r="AT392" s="219" t="s">
        <v>1659</v>
      </c>
      <c r="AV392" s="67">
        <f>$PF$670</f>
        <v>302.89999999999998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78" t="s">
        <v>2012</v>
      </c>
      <c r="D393" s="67">
        <f>$RZ$604</f>
        <v>2724.6000000000004</v>
      </c>
      <c r="E393" s="5" t="s">
        <v>3</v>
      </c>
      <c r="F393" s="63" t="s">
        <v>757</v>
      </c>
      <c r="H393" s="67">
        <f>$LB$610</f>
        <v>1945.5</v>
      </c>
      <c r="I393" s="5" t="s">
        <v>3</v>
      </c>
      <c r="J393" s="219" t="s">
        <v>1657</v>
      </c>
      <c r="L393" s="67">
        <f>$RH$616</f>
        <v>1311.2</v>
      </c>
      <c r="M393" s="5" t="s">
        <v>3</v>
      </c>
      <c r="N393" s="63" t="s">
        <v>21</v>
      </c>
      <c r="P393" s="67">
        <f>$H$622</f>
        <v>1100.5999999999999</v>
      </c>
      <c r="Q393" s="5" t="s">
        <v>3</v>
      </c>
      <c r="R393" s="63" t="s">
        <v>162</v>
      </c>
      <c r="T393" s="67">
        <f>$IQ$628</f>
        <v>902.2</v>
      </c>
      <c r="U393" s="5" t="s">
        <v>3</v>
      </c>
      <c r="V393" s="63" t="s">
        <v>141</v>
      </c>
      <c r="X393" s="67">
        <f>$GF$634</f>
        <v>774.30000000000007</v>
      </c>
      <c r="Y393" s="5" t="s">
        <v>3</v>
      </c>
      <c r="Z393" s="28" t="s">
        <v>155</v>
      </c>
      <c r="AB393" s="67">
        <f>$BS$640</f>
        <v>545.79999999999995</v>
      </c>
      <c r="AC393" s="5" t="s">
        <v>3</v>
      </c>
      <c r="AD393" s="278" t="s">
        <v>2015</v>
      </c>
      <c r="AF393" s="67">
        <f>$VL$646</f>
        <v>439.4</v>
      </c>
      <c r="AG393" s="5" t="s">
        <v>3</v>
      </c>
      <c r="AH393" s="63" t="s">
        <v>3391</v>
      </c>
      <c r="AJ393" s="67">
        <f>$ANU$652</f>
        <v>543.29999999999995</v>
      </c>
      <c r="AK393" s="5" t="s">
        <v>3</v>
      </c>
      <c r="AL393" s="63" t="s">
        <v>796</v>
      </c>
      <c r="AN393" s="67">
        <f>$KJ$658</f>
        <v>447.09999999999997</v>
      </c>
      <c r="AO393" s="5" t="s">
        <v>3</v>
      </c>
      <c r="AP393" s="278" t="s">
        <v>154</v>
      </c>
      <c r="AR393" s="67">
        <f>$Q$664</f>
        <v>314.5</v>
      </c>
      <c r="AS393" s="5" t="s">
        <v>3</v>
      </c>
      <c r="AT393" s="278" t="s">
        <v>17</v>
      </c>
      <c r="AV393" s="67">
        <f>$DL$670</f>
        <v>289.79999999999995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3380</v>
      </c>
      <c r="D394" s="67">
        <f>$AJQ$604</f>
        <v>2676.3500000000004</v>
      </c>
      <c r="E394" s="5" t="s">
        <v>5</v>
      </c>
      <c r="F394" s="219" t="s">
        <v>1657</v>
      </c>
      <c r="H394" s="67">
        <f>$RH$610</f>
        <v>1917.6999999999998</v>
      </c>
      <c r="I394" s="5" t="s">
        <v>5</v>
      </c>
      <c r="J394" s="63" t="s">
        <v>762</v>
      </c>
      <c r="L394" s="67">
        <f>$FE$616</f>
        <v>1289.3</v>
      </c>
      <c r="M394" s="5" t="s">
        <v>5</v>
      </c>
      <c r="N394" s="63" t="s">
        <v>749</v>
      </c>
      <c r="P394" s="67">
        <f>$EV$622</f>
        <v>1079.3999999999999</v>
      </c>
      <c r="Q394" s="5" t="s">
        <v>5</v>
      </c>
      <c r="R394" s="278" t="s">
        <v>4520</v>
      </c>
      <c r="T394" s="67">
        <f>$XW$628</f>
        <v>843.5</v>
      </c>
      <c r="U394" s="5" t="s">
        <v>5</v>
      </c>
      <c r="V394" s="63" t="s">
        <v>3394</v>
      </c>
      <c r="X394" s="67">
        <f>$AOV$634</f>
        <v>726.1</v>
      </c>
      <c r="Y394" s="5" t="s">
        <v>5</v>
      </c>
      <c r="Z394" s="63" t="s">
        <v>757</v>
      </c>
      <c r="AB394" s="67">
        <f>$LB$640</f>
        <v>529</v>
      </c>
      <c r="AC394" s="5" t="s">
        <v>5</v>
      </c>
      <c r="AD394" s="63" t="s">
        <v>33</v>
      </c>
      <c r="AF394" s="67">
        <f>$BA$646</f>
        <v>398.5</v>
      </c>
      <c r="AG394" s="5" t="s">
        <v>5</v>
      </c>
      <c r="AH394" s="63" t="s">
        <v>3390</v>
      </c>
      <c r="AJ394" s="67">
        <f>$ANC$652</f>
        <v>519.4</v>
      </c>
      <c r="AK394" s="5" t="s">
        <v>5</v>
      </c>
      <c r="AL394" s="63" t="s">
        <v>738</v>
      </c>
      <c r="AN394" s="67">
        <f>$JI$658</f>
        <v>429.3</v>
      </c>
      <c r="AO394" s="5" t="s">
        <v>5</v>
      </c>
      <c r="AP394" s="278" t="s">
        <v>783</v>
      </c>
      <c r="AR394" s="67">
        <f>$CK$664</f>
        <v>301.5</v>
      </c>
      <c r="AS394" s="5" t="s">
        <v>5</v>
      </c>
      <c r="AT394" s="63" t="s">
        <v>21</v>
      </c>
      <c r="AV394" s="67">
        <f>$H$670</f>
        <v>285.5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63" t="s">
        <v>3378</v>
      </c>
      <c r="D395" s="67">
        <f>$AIY$604</f>
        <v>2672.35</v>
      </c>
      <c r="E395" s="5" t="s">
        <v>7</v>
      </c>
      <c r="F395" s="278" t="s">
        <v>3373</v>
      </c>
      <c r="H395" s="67">
        <f>$AHF$610</f>
        <v>1893.7</v>
      </c>
      <c r="I395" s="5" t="s">
        <v>7</v>
      </c>
      <c r="J395" s="63" t="s">
        <v>796</v>
      </c>
      <c r="L395" s="67">
        <f>$KJ$616</f>
        <v>1229</v>
      </c>
      <c r="M395" s="5" t="s">
        <v>7</v>
      </c>
      <c r="N395" s="278" t="s">
        <v>27</v>
      </c>
      <c r="P395" s="67">
        <f>$MC$622</f>
        <v>1077.0999999999999</v>
      </c>
      <c r="Q395" s="5" t="s">
        <v>7</v>
      </c>
      <c r="R395" s="278" t="s">
        <v>2010</v>
      </c>
      <c r="T395" s="67">
        <f>$SI$628</f>
        <v>841.69999999999993</v>
      </c>
      <c r="U395" s="5" t="s">
        <v>7</v>
      </c>
      <c r="V395" s="63" t="s">
        <v>3380</v>
      </c>
      <c r="X395" s="67">
        <f>$AJQ$634</f>
        <v>717</v>
      </c>
      <c r="Y395" s="5" t="s">
        <v>7</v>
      </c>
      <c r="Z395" s="278" t="s">
        <v>2022</v>
      </c>
      <c r="AB395" s="67">
        <f>$SR$640</f>
        <v>528.20000000000005</v>
      </c>
      <c r="AC395" s="5" t="s">
        <v>7</v>
      </c>
      <c r="AD395" s="63" t="s">
        <v>763</v>
      </c>
      <c r="AF395" s="67">
        <f>$NM$646</f>
        <v>394.9</v>
      </c>
      <c r="AG395" s="5" t="s">
        <v>7</v>
      </c>
      <c r="AH395" s="278" t="s">
        <v>11</v>
      </c>
      <c r="AJ395" s="67">
        <f>$CB$652</f>
        <v>512.59999999999991</v>
      </c>
      <c r="AK395" s="5" t="s">
        <v>7</v>
      </c>
      <c r="AL395" s="63" t="s">
        <v>3379</v>
      </c>
      <c r="AN395" s="67">
        <f>$AJH$658</f>
        <v>410.70000000000005</v>
      </c>
      <c r="AO395" s="5" t="s">
        <v>7</v>
      </c>
      <c r="AP395" s="63" t="s">
        <v>3375</v>
      </c>
      <c r="AR395" s="67">
        <f>$AHX$664</f>
        <v>294.60000000000002</v>
      </c>
      <c r="AS395" s="5" t="s">
        <v>7</v>
      </c>
      <c r="AT395" s="278" t="s">
        <v>31</v>
      </c>
      <c r="AV395" s="67">
        <f>$Z$670</f>
        <v>278.60000000000002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734</v>
      </c>
      <c r="D396" s="67">
        <f>$LK$604</f>
        <v>2650.6000000000004</v>
      </c>
      <c r="E396" s="5" t="s">
        <v>8</v>
      </c>
      <c r="F396" s="63" t="s">
        <v>771</v>
      </c>
      <c r="H396" s="67">
        <f>$MU$610</f>
        <v>1878.8</v>
      </c>
      <c r="I396" s="5" t="s">
        <v>8</v>
      </c>
      <c r="J396" s="63" t="s">
        <v>3391</v>
      </c>
      <c r="L396" s="67">
        <f>$ANU$616</f>
        <v>1219.6000000000001</v>
      </c>
      <c r="M396" s="5" t="s">
        <v>8</v>
      </c>
      <c r="N396" s="63" t="s">
        <v>3403</v>
      </c>
      <c r="P396" s="67">
        <f>$APN$622</f>
        <v>1056.0999999999999</v>
      </c>
      <c r="Q396" s="5" t="s">
        <v>8</v>
      </c>
      <c r="R396" s="28" t="s">
        <v>37</v>
      </c>
      <c r="T396" s="67">
        <f>$DC$628</f>
        <v>838</v>
      </c>
      <c r="U396" s="5" t="s">
        <v>8</v>
      </c>
      <c r="V396" s="278" t="s">
        <v>779</v>
      </c>
      <c r="X396" s="67">
        <f>$AI$634</f>
        <v>691.30000000000007</v>
      </c>
      <c r="Y396" s="5" t="s">
        <v>8</v>
      </c>
      <c r="Z396" s="219" t="s">
        <v>1653</v>
      </c>
      <c r="AB396" s="67">
        <f>$ML$640</f>
        <v>528</v>
      </c>
      <c r="AC396" s="5" t="s">
        <v>8</v>
      </c>
      <c r="AD396" s="278" t="s">
        <v>17</v>
      </c>
      <c r="AF396" s="67">
        <f>$DL$646</f>
        <v>387.5</v>
      </c>
      <c r="AG396" s="5" t="s">
        <v>8</v>
      </c>
      <c r="AH396" s="219" t="s">
        <v>1653</v>
      </c>
      <c r="AJ396" s="67">
        <f>$ML$652</f>
        <v>503.20000000000005</v>
      </c>
      <c r="AK396" s="5" t="s">
        <v>8</v>
      </c>
      <c r="AL396" s="278" t="s">
        <v>2012</v>
      </c>
      <c r="AN396" s="67">
        <f>$RZ$658</f>
        <v>402.7</v>
      </c>
      <c r="AO396" s="5" t="s">
        <v>8</v>
      </c>
      <c r="AP396" s="63" t="s">
        <v>749</v>
      </c>
      <c r="AR396" s="67">
        <f>$EV$664</f>
        <v>291.10000000000002</v>
      </c>
      <c r="AS396" s="5" t="s">
        <v>8</v>
      </c>
      <c r="AT396" s="63" t="s">
        <v>3390</v>
      </c>
      <c r="AV396" s="67">
        <f>$ANC$670</f>
        <v>276.8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19" t="s">
        <v>1655</v>
      </c>
      <c r="D397" s="67">
        <f>$PO$604</f>
        <v>2646.5</v>
      </c>
      <c r="E397" s="5" t="s">
        <v>10</v>
      </c>
      <c r="F397" s="278" t="s">
        <v>2012</v>
      </c>
      <c r="H397" s="67">
        <f>$RZ$610</f>
        <v>1658.3999999999999</v>
      </c>
      <c r="I397" s="5" t="s">
        <v>10</v>
      </c>
      <c r="J397" s="278" t="s">
        <v>2057</v>
      </c>
      <c r="L397" s="67">
        <f>$AAZ$616</f>
        <v>1213.8999999999999</v>
      </c>
      <c r="M397" s="5" t="s">
        <v>10</v>
      </c>
      <c r="N397" s="278" t="s">
        <v>783</v>
      </c>
      <c r="P397" s="67">
        <f>$CK$622</f>
        <v>1023.3</v>
      </c>
      <c r="Q397" s="5" t="s">
        <v>10</v>
      </c>
      <c r="R397" s="63" t="s">
        <v>762</v>
      </c>
      <c r="T397" s="67">
        <f>$FE$628</f>
        <v>801.90000000000009</v>
      </c>
      <c r="U397" s="5" t="s">
        <v>10</v>
      </c>
      <c r="V397" s="278" t="s">
        <v>9</v>
      </c>
      <c r="X397" s="67">
        <f>$LT$634</f>
        <v>671.19999999999993</v>
      </c>
      <c r="Y397" s="5" t="s">
        <v>10</v>
      </c>
      <c r="Z397" s="219" t="s">
        <v>1660</v>
      </c>
      <c r="AB397" s="67">
        <f>$ND$640</f>
        <v>525.90000000000009</v>
      </c>
      <c r="AC397" s="5" t="s">
        <v>10</v>
      </c>
      <c r="AD397" s="63" t="s">
        <v>3394</v>
      </c>
      <c r="AF397" s="67">
        <f>$AOV$646</f>
        <v>386.7</v>
      </c>
      <c r="AG397" s="5" t="s">
        <v>10</v>
      </c>
      <c r="AH397" s="278" t="s">
        <v>800</v>
      </c>
      <c r="AJ397" s="67">
        <f>$AR$652</f>
        <v>459.9</v>
      </c>
      <c r="AK397" s="5" t="s">
        <v>10</v>
      </c>
      <c r="AL397" s="63" t="s">
        <v>180</v>
      </c>
      <c r="AN397" s="67">
        <f>$AOD$658</f>
        <v>367.5</v>
      </c>
      <c r="AO397" s="5" t="s">
        <v>10</v>
      </c>
      <c r="AP397" s="278" t="s">
        <v>4520</v>
      </c>
      <c r="AR397" s="67">
        <f>$XW$664</f>
        <v>282.89999999999998</v>
      </c>
      <c r="AS397" s="5" t="s">
        <v>10</v>
      </c>
      <c r="AT397" s="63" t="s">
        <v>141</v>
      </c>
      <c r="AV397" s="67">
        <f>$GF$670</f>
        <v>264.5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757</v>
      </c>
      <c r="D398" s="67">
        <f>$LB$604</f>
        <v>2634.5</v>
      </c>
      <c r="E398" s="5" t="s">
        <v>12</v>
      </c>
      <c r="F398" s="219" t="s">
        <v>1653</v>
      </c>
      <c r="H398" s="67">
        <f>$ML$610</f>
        <v>1651.4999999999998</v>
      </c>
      <c r="I398" s="5" t="s">
        <v>12</v>
      </c>
      <c r="J398" s="278" t="s">
        <v>2022</v>
      </c>
      <c r="L398" s="67">
        <f>$SR$616</f>
        <v>1203.4000000000001</v>
      </c>
      <c r="M398" s="5" t="s">
        <v>12</v>
      </c>
      <c r="N398" s="63" t="s">
        <v>3383</v>
      </c>
      <c r="P398" s="67">
        <f>$AKR$622</f>
        <v>1009.6999999999998</v>
      </c>
      <c r="Q398" s="5" t="s">
        <v>12</v>
      </c>
      <c r="R398" s="63" t="s">
        <v>734</v>
      </c>
      <c r="T398" s="67">
        <f>$LK$628</f>
        <v>798.9</v>
      </c>
      <c r="U398" s="5" t="s">
        <v>12</v>
      </c>
      <c r="V398" s="28" t="s">
        <v>37</v>
      </c>
      <c r="X398" s="67">
        <f>$DC$634</f>
        <v>667.90000000000009</v>
      </c>
      <c r="Y398" s="5" t="s">
        <v>12</v>
      </c>
      <c r="Z398" s="63" t="s">
        <v>3393</v>
      </c>
      <c r="AB398" s="67">
        <f>$AOM$640</f>
        <v>520.79999999999995</v>
      </c>
      <c r="AC398" s="5" t="s">
        <v>12</v>
      </c>
      <c r="AD398" s="63" t="s">
        <v>762</v>
      </c>
      <c r="AF398" s="67">
        <f>$FE$646</f>
        <v>381.59999999999997</v>
      </c>
      <c r="AG398" s="5" t="s">
        <v>12</v>
      </c>
      <c r="AH398" s="63" t="s">
        <v>738</v>
      </c>
      <c r="AJ398" s="67">
        <f>$JI$652</f>
        <v>446.3</v>
      </c>
      <c r="AK398" s="5" t="s">
        <v>12</v>
      </c>
      <c r="AL398" s="278" t="s">
        <v>11</v>
      </c>
      <c r="AN398" s="67">
        <f>$CB$658</f>
        <v>356.8</v>
      </c>
      <c r="AO398" s="5" t="s">
        <v>12</v>
      </c>
      <c r="AP398" s="219" t="s">
        <v>1644</v>
      </c>
      <c r="AR398" s="67">
        <f>$UT$664</f>
        <v>273.20000000000005</v>
      </c>
      <c r="AS398" s="5" t="s">
        <v>12</v>
      </c>
      <c r="AT398" s="219" t="s">
        <v>1660</v>
      </c>
      <c r="AV398" s="67">
        <f>$ND$670</f>
        <v>253.1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63" t="s">
        <v>3388</v>
      </c>
      <c r="D399" s="67">
        <f>$AMK$604</f>
        <v>2634.5</v>
      </c>
      <c r="E399" s="5" t="s">
        <v>14</v>
      </c>
      <c r="F399" s="63" t="s">
        <v>3378</v>
      </c>
      <c r="H399" s="67">
        <f>$AIY$610</f>
        <v>1643.7</v>
      </c>
      <c r="I399" s="5" t="s">
        <v>14</v>
      </c>
      <c r="J399" s="278" t="s">
        <v>27</v>
      </c>
      <c r="L399" s="67">
        <f>$MC$616</f>
        <v>1189.2</v>
      </c>
      <c r="M399" s="5" t="s">
        <v>14</v>
      </c>
      <c r="N399" s="63" t="s">
        <v>3375</v>
      </c>
      <c r="P399" s="67">
        <f>$AHX$622</f>
        <v>1005.4000000000001</v>
      </c>
      <c r="Q399" s="5" t="s">
        <v>14</v>
      </c>
      <c r="R399" s="278" t="s">
        <v>2027</v>
      </c>
      <c r="T399" s="67">
        <f>$YF$628</f>
        <v>782.09999999999991</v>
      </c>
      <c r="U399" s="5" t="s">
        <v>14</v>
      </c>
      <c r="V399" s="63" t="s">
        <v>3379</v>
      </c>
      <c r="X399" s="67">
        <f>$AJH$634</f>
        <v>660.69999999999993</v>
      </c>
      <c r="Y399" s="5" t="s">
        <v>14</v>
      </c>
      <c r="Z399" s="63" t="s">
        <v>142</v>
      </c>
      <c r="AB399" s="67">
        <f>$DU$640</f>
        <v>515.09999999999991</v>
      </c>
      <c r="AC399" s="5" t="s">
        <v>14</v>
      </c>
      <c r="AD399" s="63" t="s">
        <v>3385</v>
      </c>
      <c r="AF399" s="67">
        <f>$ALJ$646</f>
        <v>373.2</v>
      </c>
      <c r="AG399" s="5" t="s">
        <v>14</v>
      </c>
      <c r="AH399" s="278" t="s">
        <v>154</v>
      </c>
      <c r="AJ399" s="67">
        <f>$Q$652</f>
        <v>427.5</v>
      </c>
      <c r="AK399" s="5" t="s">
        <v>14</v>
      </c>
      <c r="AL399" s="278" t="s">
        <v>2010</v>
      </c>
      <c r="AN399" s="67">
        <f>$SI$658</f>
        <v>351</v>
      </c>
      <c r="AO399" s="5" t="s">
        <v>14</v>
      </c>
      <c r="AP399" s="278" t="s">
        <v>2031</v>
      </c>
      <c r="AR399" s="67">
        <f>$ZG$664</f>
        <v>251.5</v>
      </c>
      <c r="AS399" s="5" t="s">
        <v>14</v>
      </c>
      <c r="AT399" s="219" t="s">
        <v>1656</v>
      </c>
      <c r="AV399" s="67">
        <f>$QP$670</f>
        <v>248.8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2029</v>
      </c>
      <c r="D400" s="67">
        <f>$ZP$604</f>
        <v>2631.3</v>
      </c>
      <c r="E400" s="5" t="s">
        <v>16</v>
      </c>
      <c r="F400" s="63" t="s">
        <v>25</v>
      </c>
      <c r="H400" s="67">
        <f>$BJ$610</f>
        <v>1633.1000000000004</v>
      </c>
      <c r="I400" s="5" t="s">
        <v>16</v>
      </c>
      <c r="J400" s="278" t="s">
        <v>2028</v>
      </c>
      <c r="L400" s="67">
        <f>$AAQ$616</f>
        <v>1162.5999999999999</v>
      </c>
      <c r="M400" s="5" t="s">
        <v>16</v>
      </c>
      <c r="N400" s="278" t="s">
        <v>800</v>
      </c>
      <c r="P400" s="67">
        <f>$AR$622</f>
        <v>1001</v>
      </c>
      <c r="Q400" s="5" t="s">
        <v>16</v>
      </c>
      <c r="R400" s="278" t="s">
        <v>2034</v>
      </c>
      <c r="T400" s="67">
        <f>$ZY$628</f>
        <v>776.40000000000009</v>
      </c>
      <c r="U400" s="5" t="s">
        <v>16</v>
      </c>
      <c r="V400" s="278" t="s">
        <v>4520</v>
      </c>
      <c r="X400" s="67">
        <f>$XW$634</f>
        <v>657.7</v>
      </c>
      <c r="Y400" s="5" t="s">
        <v>16</v>
      </c>
      <c r="Z400" s="63" t="s">
        <v>3402</v>
      </c>
      <c r="AB400" s="67">
        <f>$APE$640</f>
        <v>501</v>
      </c>
      <c r="AC400" s="5" t="s">
        <v>16</v>
      </c>
      <c r="AD400" s="63" t="s">
        <v>746</v>
      </c>
      <c r="AF400" s="67">
        <f>$FW$646</f>
        <v>361.2</v>
      </c>
      <c r="AG400" s="5" t="s">
        <v>16</v>
      </c>
      <c r="AH400" s="278" t="s">
        <v>2010</v>
      </c>
      <c r="AJ400" s="67">
        <f>$SI$652</f>
        <v>416.4</v>
      </c>
      <c r="AK400" s="5" t="s">
        <v>16</v>
      </c>
      <c r="AL400" s="278" t="s">
        <v>2029</v>
      </c>
      <c r="AN400" s="67">
        <f>$ZP$658</f>
        <v>343.6</v>
      </c>
      <c r="AO400" s="5" t="s">
        <v>16</v>
      </c>
      <c r="AP400" s="28" t="s">
        <v>37</v>
      </c>
      <c r="AR400" s="67">
        <f>$DC$664</f>
        <v>249.8</v>
      </c>
      <c r="AS400" s="5" t="s">
        <v>16</v>
      </c>
      <c r="AT400" s="278" t="s">
        <v>2022</v>
      </c>
      <c r="AV400" s="67">
        <f>$SR$670</f>
        <v>231.5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19" t="s">
        <v>1652</v>
      </c>
      <c r="D401" s="67">
        <f>$ON$604</f>
        <v>2625.5000000000005</v>
      </c>
      <c r="E401" s="5" t="s">
        <v>18</v>
      </c>
      <c r="F401" s="278" t="s">
        <v>2010</v>
      </c>
      <c r="H401" s="67">
        <f>$SI$610</f>
        <v>1608.6</v>
      </c>
      <c r="I401" s="5" t="s">
        <v>18</v>
      </c>
      <c r="J401" s="63" t="s">
        <v>3382</v>
      </c>
      <c r="L401" s="67">
        <f>$AKI$616</f>
        <v>1136.5</v>
      </c>
      <c r="M401" s="5" t="s">
        <v>18</v>
      </c>
      <c r="N401" s="28" t="s">
        <v>37</v>
      </c>
      <c r="P401" s="67">
        <f>$DC$622</f>
        <v>998.7</v>
      </c>
      <c r="Q401" s="5" t="s">
        <v>18</v>
      </c>
      <c r="R401" s="278" t="s">
        <v>2015</v>
      </c>
      <c r="T401" s="67">
        <f>$VL$628</f>
        <v>770.39999999999986</v>
      </c>
      <c r="U401" s="5" t="s">
        <v>18</v>
      </c>
      <c r="V401" s="63" t="s">
        <v>21</v>
      </c>
      <c r="X401" s="67">
        <f>$H$634</f>
        <v>644.30000000000007</v>
      </c>
      <c r="Y401" s="5" t="s">
        <v>18</v>
      </c>
      <c r="Z401" s="63" t="s">
        <v>733</v>
      </c>
      <c r="AB401" s="67">
        <f>$HG$640</f>
        <v>498.9</v>
      </c>
      <c r="AC401" s="5" t="s">
        <v>18</v>
      </c>
      <c r="AD401" s="63" t="s">
        <v>749</v>
      </c>
      <c r="AF401" s="67">
        <f>$EV$646</f>
        <v>361.1</v>
      </c>
      <c r="AG401" s="5" t="s">
        <v>18</v>
      </c>
      <c r="AH401" s="63" t="s">
        <v>3406</v>
      </c>
      <c r="AJ401" s="67">
        <f>$AQF$652</f>
        <v>398.6</v>
      </c>
      <c r="AK401" s="5" t="s">
        <v>18</v>
      </c>
      <c r="AL401" s="278" t="s">
        <v>9</v>
      </c>
      <c r="AN401" s="67">
        <f>$LT$658</f>
        <v>334.8</v>
      </c>
      <c r="AO401" s="5" t="s">
        <v>18</v>
      </c>
      <c r="AP401" s="278" t="s">
        <v>31</v>
      </c>
      <c r="AR401" s="67">
        <f>$Z$664</f>
        <v>232.4</v>
      </c>
      <c r="AS401" s="5" t="s">
        <v>18</v>
      </c>
      <c r="AT401" s="28" t="s">
        <v>155</v>
      </c>
      <c r="AV401" s="67">
        <f>$BS$670</f>
        <v>227.5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8" t="s">
        <v>783</v>
      </c>
      <c r="D402" s="67">
        <f>$CK$604</f>
        <v>2623.5</v>
      </c>
      <c r="E402" s="5" t="s">
        <v>20</v>
      </c>
      <c r="F402" s="278" t="s">
        <v>2029</v>
      </c>
      <c r="H402" s="67">
        <f>$ZP$610</f>
        <v>1596.3000000000002</v>
      </c>
      <c r="I402" s="5" t="s">
        <v>20</v>
      </c>
      <c r="J402" s="63" t="s">
        <v>733</v>
      </c>
      <c r="L402" s="67">
        <f>$HG$616</f>
        <v>1122.9999999999998</v>
      </c>
      <c r="M402" s="5" t="s">
        <v>20</v>
      </c>
      <c r="N402" s="278" t="s">
        <v>2010</v>
      </c>
      <c r="P402" s="67">
        <f>$SI$622</f>
        <v>997.7</v>
      </c>
      <c r="Q402" s="5" t="s">
        <v>20</v>
      </c>
      <c r="R402" s="63" t="s">
        <v>142</v>
      </c>
      <c r="T402" s="67">
        <f>$DU$628</f>
        <v>767.19999999999993</v>
      </c>
      <c r="U402" s="5" t="s">
        <v>20</v>
      </c>
      <c r="V402" s="63" t="s">
        <v>746</v>
      </c>
      <c r="X402" s="67">
        <f>$FW$634</f>
        <v>635.5</v>
      </c>
      <c r="Y402" s="5" t="s">
        <v>20</v>
      </c>
      <c r="Z402" s="28" t="s">
        <v>37</v>
      </c>
      <c r="AB402" s="67">
        <f>$DC$640</f>
        <v>487.20000000000005</v>
      </c>
      <c r="AC402" s="5" t="s">
        <v>20</v>
      </c>
      <c r="AD402" s="63" t="s">
        <v>180</v>
      </c>
      <c r="AF402" s="67">
        <f>$AOD$646</f>
        <v>357.8</v>
      </c>
      <c r="AG402" s="5" t="s">
        <v>20</v>
      </c>
      <c r="AH402" s="278" t="s">
        <v>3374</v>
      </c>
      <c r="AJ402" s="67">
        <f>$AHO$652</f>
        <v>392.29999999999995</v>
      </c>
      <c r="AK402" s="5" t="s">
        <v>20</v>
      </c>
      <c r="AL402" s="63" t="s">
        <v>3377</v>
      </c>
      <c r="AN402" s="67">
        <f>$AIP$658</f>
        <v>327.60000000000002</v>
      </c>
      <c r="AO402" s="5" t="s">
        <v>20</v>
      </c>
      <c r="AP402" s="63" t="s">
        <v>3381</v>
      </c>
      <c r="AR402" s="67">
        <f>$AJZ$664</f>
        <v>211.8</v>
      </c>
      <c r="AS402" s="5" t="s">
        <v>20</v>
      </c>
      <c r="AT402" s="63" t="s">
        <v>3388</v>
      </c>
      <c r="AV402" s="67">
        <f>$AMK$670</f>
        <v>224.4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748</v>
      </c>
      <c r="D403" s="67">
        <f>$GO$604</f>
        <v>2623.5</v>
      </c>
      <c r="E403" s="5" t="s">
        <v>22</v>
      </c>
      <c r="F403" s="63" t="s">
        <v>3403</v>
      </c>
      <c r="H403" s="67">
        <f>$APN$610</f>
        <v>1569.6</v>
      </c>
      <c r="I403" s="5" t="s">
        <v>22</v>
      </c>
      <c r="J403" s="63" t="s">
        <v>3383</v>
      </c>
      <c r="L403" s="67">
        <f>$AKR$616</f>
        <v>1120</v>
      </c>
      <c r="M403" s="5" t="s">
        <v>22</v>
      </c>
      <c r="N403" s="63" t="s">
        <v>3382</v>
      </c>
      <c r="P403" s="67">
        <f>$AKI$622</f>
        <v>987.40000000000009</v>
      </c>
      <c r="Q403" s="5" t="s">
        <v>22</v>
      </c>
      <c r="R403" s="28" t="s">
        <v>155</v>
      </c>
      <c r="T403" s="67">
        <f>$BS$628</f>
        <v>732.5</v>
      </c>
      <c r="U403" s="5" t="s">
        <v>22</v>
      </c>
      <c r="V403" s="219" t="s">
        <v>1653</v>
      </c>
      <c r="X403" s="67">
        <f>$ML$634</f>
        <v>628.9</v>
      </c>
      <c r="Y403" s="5" t="s">
        <v>22</v>
      </c>
      <c r="Z403" s="219" t="s">
        <v>1656</v>
      </c>
      <c r="AB403" s="67">
        <f>$QP$640</f>
        <v>484.7</v>
      </c>
      <c r="AC403" s="5" t="s">
        <v>22</v>
      </c>
      <c r="AD403" s="278" t="s">
        <v>2029</v>
      </c>
      <c r="AF403" s="67">
        <f>$ZP$646</f>
        <v>357.3</v>
      </c>
      <c r="AG403" s="5" t="s">
        <v>22</v>
      </c>
      <c r="AH403" s="278" t="s">
        <v>2006</v>
      </c>
      <c r="AJ403" s="67">
        <f>$TJ$652</f>
        <v>389.70000000000005</v>
      </c>
      <c r="AK403" s="5" t="s">
        <v>22</v>
      </c>
      <c r="AL403" s="63" t="s">
        <v>3406</v>
      </c>
      <c r="AN403" s="67">
        <f>$AQF$658</f>
        <v>306.10000000000008</v>
      </c>
      <c r="AO403" s="5" t="s">
        <v>22</v>
      </c>
      <c r="AP403" s="278" t="s">
        <v>143</v>
      </c>
      <c r="AR403" s="67">
        <f>$CT$664</f>
        <v>186.79999999999998</v>
      </c>
      <c r="AS403" s="5" t="s">
        <v>22</v>
      </c>
      <c r="AT403" s="63" t="s">
        <v>762</v>
      </c>
      <c r="AV403" s="67">
        <f>$FE$670</f>
        <v>204.39999999999998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3389</v>
      </c>
      <c r="D404" s="67">
        <f>$AMT$604</f>
        <v>2618.9</v>
      </c>
      <c r="E404" s="5" t="s">
        <v>24</v>
      </c>
      <c r="F404" s="63" t="s">
        <v>162</v>
      </c>
      <c r="H404" s="67">
        <f>$IQ$610</f>
        <v>1568.6999999999998</v>
      </c>
      <c r="I404" s="5" t="s">
        <v>24</v>
      </c>
      <c r="J404" s="63" t="s">
        <v>757</v>
      </c>
      <c r="L404" s="67">
        <f>$LB$616</f>
        <v>1117.7</v>
      </c>
      <c r="M404" s="5" t="s">
        <v>24</v>
      </c>
      <c r="N404" s="278" t="s">
        <v>2012</v>
      </c>
      <c r="P404" s="67">
        <f>$RZ$622</f>
        <v>985.6</v>
      </c>
      <c r="Q404" s="5" t="s">
        <v>24</v>
      </c>
      <c r="R404" s="63" t="s">
        <v>778</v>
      </c>
      <c r="T404" s="67">
        <f>$GX$628</f>
        <v>719.4</v>
      </c>
      <c r="U404" s="5" t="s">
        <v>24</v>
      </c>
      <c r="V404" s="63" t="s">
        <v>728</v>
      </c>
      <c r="X404" s="67">
        <f>$TS$634</f>
        <v>620.9</v>
      </c>
      <c r="Y404" s="5" t="s">
        <v>24</v>
      </c>
      <c r="Z404" s="63" t="s">
        <v>771</v>
      </c>
      <c r="AB404" s="67">
        <f>$MU$640</f>
        <v>469.9</v>
      </c>
      <c r="AC404" s="5" t="s">
        <v>24</v>
      </c>
      <c r="AD404" s="278" t="s">
        <v>2161</v>
      </c>
      <c r="AF404" s="67">
        <f>$XN$646</f>
        <v>353.1</v>
      </c>
      <c r="AG404" s="5" t="s">
        <v>24</v>
      </c>
      <c r="AH404" s="219" t="s">
        <v>1656</v>
      </c>
      <c r="AJ404" s="67">
        <f>$QP$652</f>
        <v>369.6</v>
      </c>
      <c r="AK404" s="5" t="s">
        <v>24</v>
      </c>
      <c r="AL404" s="219" t="s">
        <v>1662</v>
      </c>
      <c r="AN404" s="67">
        <f>$HP$658</f>
        <v>304.5</v>
      </c>
      <c r="AO404" s="5" t="s">
        <v>24</v>
      </c>
      <c r="AP404" s="278" t="s">
        <v>2028</v>
      </c>
      <c r="AR404" s="67">
        <f>$AAQ$664</f>
        <v>183.6</v>
      </c>
      <c r="AS404" s="5" t="s">
        <v>24</v>
      </c>
      <c r="AT404" s="63" t="s">
        <v>778</v>
      </c>
      <c r="AV404" s="67">
        <f>$GX$670</f>
        <v>199.2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738</v>
      </c>
      <c r="D405" s="67">
        <f>$JI$604</f>
        <v>2615.1999999999998</v>
      </c>
      <c r="E405" s="5" t="s">
        <v>26</v>
      </c>
      <c r="F405" s="63" t="s">
        <v>3391</v>
      </c>
      <c r="H405" s="67">
        <f>$ANU$610</f>
        <v>1559.3</v>
      </c>
      <c r="I405" s="5" t="s">
        <v>26</v>
      </c>
      <c r="J405" s="63" t="s">
        <v>3387</v>
      </c>
      <c r="L405" s="67">
        <f>$AMB$616</f>
        <v>1100.2</v>
      </c>
      <c r="M405" s="5" t="s">
        <v>26</v>
      </c>
      <c r="N405" s="63" t="s">
        <v>748</v>
      </c>
      <c r="P405" s="67">
        <f>$GO$622</f>
        <v>982.00000000000011</v>
      </c>
      <c r="Q405" s="5" t="s">
        <v>26</v>
      </c>
      <c r="R405" s="63" t="s">
        <v>3378</v>
      </c>
      <c r="T405" s="67">
        <f>$AIY$628</f>
        <v>714.9</v>
      </c>
      <c r="U405" s="5" t="s">
        <v>26</v>
      </c>
      <c r="V405" s="63" t="s">
        <v>778</v>
      </c>
      <c r="X405" s="67">
        <f>$GX$634</f>
        <v>615.29999999999995</v>
      </c>
      <c r="Y405" s="5" t="s">
        <v>26</v>
      </c>
      <c r="Z405" s="278" t="s">
        <v>783</v>
      </c>
      <c r="AB405" s="67">
        <f>$CK$640</f>
        <v>469.6</v>
      </c>
      <c r="AC405" s="5" t="s">
        <v>26</v>
      </c>
      <c r="AD405" s="278" t="s">
        <v>2011</v>
      </c>
      <c r="AF405" s="67">
        <f>$VU$646</f>
        <v>345.9</v>
      </c>
      <c r="AG405" s="5" t="s">
        <v>26</v>
      </c>
      <c r="AH405" s="63" t="s">
        <v>762</v>
      </c>
      <c r="AJ405" s="67">
        <f>$FE$652</f>
        <v>364.5</v>
      </c>
      <c r="AK405" s="5" t="s">
        <v>26</v>
      </c>
      <c r="AL405" s="278" t="s">
        <v>2161</v>
      </c>
      <c r="AN405" s="67">
        <f>$XN$658</f>
        <v>282.89999999999998</v>
      </c>
      <c r="AO405" s="5" t="s">
        <v>26</v>
      </c>
      <c r="AP405" s="28" t="s">
        <v>155</v>
      </c>
      <c r="AR405" s="67">
        <f>$BS$664</f>
        <v>172</v>
      </c>
      <c r="AS405" s="5" t="s">
        <v>26</v>
      </c>
      <c r="AT405" s="278" t="s">
        <v>779</v>
      </c>
      <c r="AV405" s="67">
        <f>$AI$670</f>
        <v>197.6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8" t="s">
        <v>2022</v>
      </c>
      <c r="D406" s="67">
        <f>$SR$604</f>
        <v>2607.9000000000005</v>
      </c>
      <c r="E406" s="5" t="s">
        <v>28</v>
      </c>
      <c r="F406" s="63" t="s">
        <v>153</v>
      </c>
      <c r="H406" s="67">
        <f>$KA$610</f>
        <v>1549.7999999999997</v>
      </c>
      <c r="I406" s="5" t="s">
        <v>28</v>
      </c>
      <c r="J406" s="278" t="s">
        <v>31</v>
      </c>
      <c r="L406" s="67">
        <f>$Z$616</f>
        <v>1097</v>
      </c>
      <c r="M406" s="5" t="s">
        <v>28</v>
      </c>
      <c r="N406" s="63" t="s">
        <v>3385</v>
      </c>
      <c r="P406" s="67">
        <f>$ALJ$622</f>
        <v>981.69999999999982</v>
      </c>
      <c r="Q406" s="5" t="s">
        <v>28</v>
      </c>
      <c r="R406" s="278" t="s">
        <v>2012</v>
      </c>
      <c r="T406" s="67">
        <f>$RZ$628</f>
        <v>700.9</v>
      </c>
      <c r="U406" s="5" t="s">
        <v>28</v>
      </c>
      <c r="V406" s="278" t="s">
        <v>783</v>
      </c>
      <c r="X406" s="67">
        <f>$CK$634</f>
        <v>605.9</v>
      </c>
      <c r="Y406" s="5" t="s">
        <v>28</v>
      </c>
      <c r="Z406" s="63" t="s">
        <v>141</v>
      </c>
      <c r="AB406" s="67">
        <f>$GF$640</f>
        <v>458.4</v>
      </c>
      <c r="AC406" s="5" t="s">
        <v>28</v>
      </c>
      <c r="AD406" s="63" t="s">
        <v>796</v>
      </c>
      <c r="AF406" s="67">
        <f>$KJ$646</f>
        <v>336.70000000000005</v>
      </c>
      <c r="AG406" s="5" t="s">
        <v>28</v>
      </c>
      <c r="AH406" s="278" t="s">
        <v>4520</v>
      </c>
      <c r="AJ406" s="67">
        <f>$XW$652</f>
        <v>359.2</v>
      </c>
      <c r="AK406" s="5" t="s">
        <v>28</v>
      </c>
      <c r="AL406" s="278" t="s">
        <v>2006</v>
      </c>
      <c r="AN406" s="67">
        <f>$TJ$658</f>
        <v>272.60000000000002</v>
      </c>
      <c r="AO406" s="5" t="s">
        <v>28</v>
      </c>
      <c r="AP406" s="278" t="s">
        <v>2022</v>
      </c>
      <c r="AR406" s="67">
        <f>$SR$664</f>
        <v>171</v>
      </c>
      <c r="AS406" s="5" t="s">
        <v>28</v>
      </c>
      <c r="AT406" s="219" t="s">
        <v>1655</v>
      </c>
      <c r="AV406" s="67">
        <f>$PO$670</f>
        <v>197.10000000000002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8" t="s">
        <v>2031</v>
      </c>
      <c r="D407" s="67">
        <f>$ZG$604</f>
        <v>2607.9000000000005</v>
      </c>
      <c r="E407" s="5" t="s">
        <v>30</v>
      </c>
      <c r="F407" s="63" t="s">
        <v>3383</v>
      </c>
      <c r="H407" s="67">
        <f>$AKR$610</f>
        <v>1530.5</v>
      </c>
      <c r="I407" s="5" t="s">
        <v>30</v>
      </c>
      <c r="J407" s="219" t="s">
        <v>1647</v>
      </c>
      <c r="L407" s="67">
        <f>$FN$616</f>
        <v>1091.3999999999999</v>
      </c>
      <c r="M407" s="5" t="s">
        <v>30</v>
      </c>
      <c r="N407" s="219" t="s">
        <v>1662</v>
      </c>
      <c r="P407" s="67">
        <f>$HP$622</f>
        <v>980.5</v>
      </c>
      <c r="Q407" s="5" t="s">
        <v>30</v>
      </c>
      <c r="R407" s="278" t="s">
        <v>2022</v>
      </c>
      <c r="T407" s="67">
        <f>$SR$628</f>
        <v>697.4</v>
      </c>
      <c r="U407" s="5" t="s">
        <v>30</v>
      </c>
      <c r="V407" s="278" t="s">
        <v>800</v>
      </c>
      <c r="X407" s="67">
        <f>$AR$634</f>
        <v>605.9</v>
      </c>
      <c r="Y407" s="5" t="s">
        <v>30</v>
      </c>
      <c r="Z407" s="63" t="s">
        <v>3407</v>
      </c>
      <c r="AB407" s="67">
        <f>$ANL$640</f>
        <v>456.3</v>
      </c>
      <c r="AC407" s="5" t="s">
        <v>30</v>
      </c>
      <c r="AD407" s="28" t="s">
        <v>37</v>
      </c>
      <c r="AF407" s="67">
        <f>$DC$646</f>
        <v>336.2</v>
      </c>
      <c r="AG407" s="5" t="s">
        <v>30</v>
      </c>
      <c r="AH407" s="278" t="s">
        <v>779</v>
      </c>
      <c r="AJ407" s="67">
        <f>$AI$652</f>
        <v>351</v>
      </c>
      <c r="AK407" s="5" t="s">
        <v>30</v>
      </c>
      <c r="AL407" s="63" t="s">
        <v>3387</v>
      </c>
      <c r="AN407" s="67">
        <f>$AMB$658</f>
        <v>263.2</v>
      </c>
      <c r="AO407" s="5" t="s">
        <v>30</v>
      </c>
      <c r="AP407" s="63" t="s">
        <v>21</v>
      </c>
      <c r="AR407" s="67">
        <f>$H$664</f>
        <v>170.29999999999998</v>
      </c>
      <c r="AS407" s="5" t="s">
        <v>30</v>
      </c>
      <c r="AT407" s="278" t="s">
        <v>4520</v>
      </c>
      <c r="AV407" s="67">
        <f>$XW$670</f>
        <v>192.5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3383</v>
      </c>
      <c r="D408" s="67">
        <f>$AKR$604</f>
        <v>2607</v>
      </c>
      <c r="E408" s="5" t="s">
        <v>32</v>
      </c>
      <c r="F408" s="219" t="s">
        <v>1652</v>
      </c>
      <c r="H408" s="67">
        <f>$ON$610</f>
        <v>1525.6</v>
      </c>
      <c r="I408" s="5" t="s">
        <v>32</v>
      </c>
      <c r="J408" s="28" t="s">
        <v>155</v>
      </c>
      <c r="L408" s="67">
        <f>$BS$616</f>
        <v>1082.4000000000001</v>
      </c>
      <c r="M408" s="5" t="s">
        <v>32</v>
      </c>
      <c r="N408" s="278" t="s">
        <v>2034</v>
      </c>
      <c r="P408" s="67">
        <f>$ZY$622</f>
        <v>977.2</v>
      </c>
      <c r="Q408" s="5" t="s">
        <v>32</v>
      </c>
      <c r="R408" s="278" t="s">
        <v>2031</v>
      </c>
      <c r="T408" s="67">
        <f>$ZG$628</f>
        <v>688.8</v>
      </c>
      <c r="U408" s="5" t="s">
        <v>32</v>
      </c>
      <c r="V408" s="63" t="s">
        <v>3376</v>
      </c>
      <c r="X408" s="67">
        <f>$AIG$634</f>
        <v>599.5</v>
      </c>
      <c r="Y408" s="5" t="s">
        <v>32</v>
      </c>
      <c r="Z408" s="63" t="s">
        <v>3390</v>
      </c>
      <c r="AB408" s="67">
        <f>$ANC$640</f>
        <v>449.3</v>
      </c>
      <c r="AC408" s="5" t="s">
        <v>32</v>
      </c>
      <c r="AD408" s="63" t="s">
        <v>764</v>
      </c>
      <c r="AF408" s="67">
        <f>$JR$646</f>
        <v>334.09999999999997</v>
      </c>
      <c r="AG408" s="5" t="s">
        <v>32</v>
      </c>
      <c r="AH408" s="63" t="s">
        <v>3375</v>
      </c>
      <c r="AJ408" s="67">
        <f>$AHX$652</f>
        <v>345.20000000000005</v>
      </c>
      <c r="AK408" s="5" t="s">
        <v>32</v>
      </c>
      <c r="AL408" s="219" t="s">
        <v>1656</v>
      </c>
      <c r="AN408" s="67">
        <f>$QP$658</f>
        <v>257.2</v>
      </c>
      <c r="AO408" s="5" t="s">
        <v>32</v>
      </c>
      <c r="AP408" s="63" t="s">
        <v>25</v>
      </c>
      <c r="AR408" s="67">
        <f>$BJ$664</f>
        <v>169.99999999999997</v>
      </c>
      <c r="AS408" s="5" t="s">
        <v>32</v>
      </c>
      <c r="AT408" s="278" t="s">
        <v>2027</v>
      </c>
      <c r="AV408" s="67">
        <f>$YF$670</f>
        <v>188.6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796</v>
      </c>
      <c r="D409" s="67">
        <f>$KJ$604</f>
        <v>2599.6000000000004</v>
      </c>
      <c r="E409" s="5" t="s">
        <v>34</v>
      </c>
      <c r="F409" s="63" t="s">
        <v>3380</v>
      </c>
      <c r="H409" s="67">
        <f>$AJQ$610</f>
        <v>1517.6</v>
      </c>
      <c r="I409" s="5" t="s">
        <v>34</v>
      </c>
      <c r="J409" s="63" t="s">
        <v>153</v>
      </c>
      <c r="L409" s="67">
        <f>$KA$616</f>
        <v>1073.7</v>
      </c>
      <c r="M409" s="5" t="s">
        <v>34</v>
      </c>
      <c r="N409" s="219" t="s">
        <v>1653</v>
      </c>
      <c r="P409" s="67">
        <f>$ML$622</f>
        <v>974</v>
      </c>
      <c r="Q409" s="5" t="s">
        <v>34</v>
      </c>
      <c r="R409" s="63" t="s">
        <v>764</v>
      </c>
      <c r="T409" s="67">
        <f>$JR$628</f>
        <v>688.4</v>
      </c>
      <c r="U409" s="5" t="s">
        <v>34</v>
      </c>
      <c r="V409" s="63" t="s">
        <v>3406</v>
      </c>
      <c r="X409" s="67">
        <f>$AQF$634</f>
        <v>599.20000000000005</v>
      </c>
      <c r="Y409" s="5" t="s">
        <v>34</v>
      </c>
      <c r="Z409" s="278" t="s">
        <v>2010</v>
      </c>
      <c r="AB409" s="67">
        <f>$SI$640</f>
        <v>442.6</v>
      </c>
      <c r="AC409" s="5" t="s">
        <v>34</v>
      </c>
      <c r="AD409" s="278" t="s">
        <v>2034</v>
      </c>
      <c r="AF409" s="67">
        <f>$ZY$646</f>
        <v>318.09999999999997</v>
      </c>
      <c r="AG409" s="5" t="s">
        <v>34</v>
      </c>
      <c r="AH409" s="219" t="s">
        <v>1660</v>
      </c>
      <c r="AJ409" s="67">
        <f>$ND$652</f>
        <v>326.40000000000003</v>
      </c>
      <c r="AK409" s="5" t="s">
        <v>34</v>
      </c>
      <c r="AL409" s="219" t="s">
        <v>1654</v>
      </c>
      <c r="AN409" s="67">
        <f>$QY$658</f>
        <v>250</v>
      </c>
      <c r="AO409" s="5" t="s">
        <v>34</v>
      </c>
      <c r="AP409" s="278" t="s">
        <v>2027</v>
      </c>
      <c r="AR409" s="67">
        <f>$YF$664</f>
        <v>168.3</v>
      </c>
      <c r="AS409" s="5" t="s">
        <v>34</v>
      </c>
      <c r="AT409" s="219" t="s">
        <v>1643</v>
      </c>
      <c r="AV409" s="67">
        <f>$UB$670</f>
        <v>183.39999999999998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19" t="s">
        <v>1659</v>
      </c>
      <c r="D410" s="67">
        <f>$PF$604</f>
        <v>2599.6000000000004</v>
      </c>
      <c r="E410" s="5" t="s">
        <v>36</v>
      </c>
      <c r="F410" s="278" t="s">
        <v>15</v>
      </c>
      <c r="H410" s="67">
        <f>$HY$610</f>
        <v>1493.2999999999997</v>
      </c>
      <c r="I410" s="5" t="s">
        <v>36</v>
      </c>
      <c r="J410" s="63" t="s">
        <v>746</v>
      </c>
      <c r="L410" s="67">
        <f>$FW$616</f>
        <v>1072.8000000000002</v>
      </c>
      <c r="M410" s="5" t="s">
        <v>36</v>
      </c>
      <c r="N410" s="219" t="s">
        <v>1652</v>
      </c>
      <c r="P410" s="67">
        <f>$ON$622</f>
        <v>968.7</v>
      </c>
      <c r="Q410" s="5" t="s">
        <v>36</v>
      </c>
      <c r="R410" s="63" t="s">
        <v>746</v>
      </c>
      <c r="T410" s="67">
        <f>$FW$628</f>
        <v>681.99999999999989</v>
      </c>
      <c r="U410" s="5" t="s">
        <v>36</v>
      </c>
      <c r="V410" s="278" t="s">
        <v>154</v>
      </c>
      <c r="X410" s="67">
        <f>$Q$634</f>
        <v>598.40000000000009</v>
      </c>
      <c r="Y410" s="5" t="s">
        <v>36</v>
      </c>
      <c r="Z410" s="219" t="s">
        <v>1659</v>
      </c>
      <c r="AB410" s="67">
        <f>$PF$640</f>
        <v>438.7</v>
      </c>
      <c r="AC410" s="5" t="s">
        <v>36</v>
      </c>
      <c r="AD410" s="63" t="s">
        <v>3375</v>
      </c>
      <c r="AF410" s="67">
        <f>$AHX$646</f>
        <v>316.79999999999995</v>
      </c>
      <c r="AG410" s="5" t="s">
        <v>36</v>
      </c>
      <c r="AH410" s="63" t="s">
        <v>746</v>
      </c>
      <c r="AJ410" s="67">
        <f>$FW$652</f>
        <v>305.90000000000003</v>
      </c>
      <c r="AK410" s="5" t="s">
        <v>36</v>
      </c>
      <c r="AL410" s="63" t="s">
        <v>3391</v>
      </c>
      <c r="AN410" s="67">
        <f>$ANU$658</f>
        <v>246</v>
      </c>
      <c r="AO410" s="5" t="s">
        <v>36</v>
      </c>
      <c r="AP410" s="219" t="s">
        <v>1655</v>
      </c>
      <c r="AR410" s="67">
        <f>$PO$664</f>
        <v>154.80000000000001</v>
      </c>
      <c r="AS410" s="5" t="s">
        <v>36</v>
      </c>
      <c r="AT410" s="278" t="s">
        <v>800</v>
      </c>
      <c r="AV410" s="67">
        <f>$AR$670</f>
        <v>182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153</v>
      </c>
      <c r="D411" s="67">
        <f>$KA$604</f>
        <v>2579</v>
      </c>
      <c r="E411" s="5" t="s">
        <v>38</v>
      </c>
      <c r="F411" s="63" t="s">
        <v>746</v>
      </c>
      <c r="H411" s="67">
        <f>$FW$610</f>
        <v>1490.4</v>
      </c>
      <c r="I411" s="5" t="s">
        <v>38</v>
      </c>
      <c r="J411" s="63" t="s">
        <v>3403</v>
      </c>
      <c r="L411" s="67">
        <f>$APN$616</f>
        <v>1068.5</v>
      </c>
      <c r="M411" s="5" t="s">
        <v>38</v>
      </c>
      <c r="N411" s="278" t="s">
        <v>143</v>
      </c>
      <c r="P411" s="67">
        <f>$CT$622</f>
        <v>954.40000000000009</v>
      </c>
      <c r="Q411" s="5" t="s">
        <v>38</v>
      </c>
      <c r="R411" s="278" t="s">
        <v>800</v>
      </c>
      <c r="T411" s="67">
        <f>$AR$628</f>
        <v>679</v>
      </c>
      <c r="U411" s="5" t="s">
        <v>38</v>
      </c>
      <c r="V411" s="219" t="s">
        <v>1657</v>
      </c>
      <c r="X411" s="67">
        <f>$RH$634</f>
        <v>588.4</v>
      </c>
      <c r="Y411" s="5" t="s">
        <v>38</v>
      </c>
      <c r="Z411" s="219" t="s">
        <v>1662</v>
      </c>
      <c r="AB411" s="67">
        <f>$HP$640</f>
        <v>432.9</v>
      </c>
      <c r="AC411" s="5" t="s">
        <v>38</v>
      </c>
      <c r="AD411" s="278" t="s">
        <v>3373</v>
      </c>
      <c r="AF411" s="67">
        <f>$AHF$646</f>
        <v>315.2</v>
      </c>
      <c r="AG411" s="5" t="s">
        <v>38</v>
      </c>
      <c r="AH411" s="63" t="s">
        <v>3383</v>
      </c>
      <c r="AJ411" s="67">
        <f>$AKR$652</f>
        <v>305.49999999999994</v>
      </c>
      <c r="AK411" s="5" t="s">
        <v>38</v>
      </c>
      <c r="AL411" s="278" t="s">
        <v>23</v>
      </c>
      <c r="AN411" s="67">
        <f>$KS$658</f>
        <v>242.2</v>
      </c>
      <c r="AO411" s="5" t="s">
        <v>38</v>
      </c>
      <c r="AP411" s="63" t="s">
        <v>728</v>
      </c>
      <c r="AR411" s="67">
        <f>$TS$664</f>
        <v>146.39999999999998</v>
      </c>
      <c r="AS411" s="5" t="s">
        <v>38</v>
      </c>
      <c r="AT411" s="219" t="s">
        <v>1647</v>
      </c>
      <c r="AV411" s="67">
        <f>$FN$670</f>
        <v>180.3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3382</v>
      </c>
      <c r="D412" s="67">
        <f>$AKI$604</f>
        <v>2579</v>
      </c>
      <c r="E412" s="5" t="s">
        <v>145</v>
      </c>
      <c r="F412" s="63" t="s">
        <v>3382</v>
      </c>
      <c r="H412" s="67">
        <f>$AKI$610</f>
        <v>1484</v>
      </c>
      <c r="I412" s="5" t="s">
        <v>145</v>
      </c>
      <c r="J412" s="219" t="s">
        <v>1654</v>
      </c>
      <c r="L412" s="67">
        <f>$QY$616</f>
        <v>1067.5</v>
      </c>
      <c r="M412" s="5" t="s">
        <v>145</v>
      </c>
      <c r="N412" s="63" t="s">
        <v>3388</v>
      </c>
      <c r="P412" s="67">
        <f>$AMK$622</f>
        <v>951.3</v>
      </c>
      <c r="Q412" s="5" t="s">
        <v>145</v>
      </c>
      <c r="R412" s="63" t="s">
        <v>33</v>
      </c>
      <c r="T412" s="67">
        <f>$BA$628</f>
        <v>660.8</v>
      </c>
      <c r="U412" s="5" t="s">
        <v>145</v>
      </c>
      <c r="V412" s="63" t="s">
        <v>3378</v>
      </c>
      <c r="X412" s="67">
        <f>$AIY$634</f>
        <v>583.09999999999991</v>
      </c>
      <c r="Y412" s="5" t="s">
        <v>145</v>
      </c>
      <c r="Z412" s="278" t="s">
        <v>2029</v>
      </c>
      <c r="AB412" s="67">
        <f>$ZP$640</f>
        <v>428.6</v>
      </c>
      <c r="AC412" s="5" t="s">
        <v>145</v>
      </c>
      <c r="AD412" s="28" t="s">
        <v>155</v>
      </c>
      <c r="AF412" s="67">
        <f>$BS$646</f>
        <v>312.5</v>
      </c>
      <c r="AG412" s="5" t="s">
        <v>145</v>
      </c>
      <c r="AH412" s="63" t="s">
        <v>764</v>
      </c>
      <c r="AJ412" s="67">
        <f>$JR$652</f>
        <v>299.3</v>
      </c>
      <c r="AK412" s="5" t="s">
        <v>145</v>
      </c>
      <c r="AL412" s="278" t="s">
        <v>143</v>
      </c>
      <c r="AN412" s="67">
        <f>$CT$658</f>
        <v>234.6</v>
      </c>
      <c r="AO412" s="5" t="s">
        <v>145</v>
      </c>
      <c r="AP412" s="278" t="s">
        <v>11</v>
      </c>
      <c r="AR412" s="67">
        <f>$CB$664</f>
        <v>146</v>
      </c>
      <c r="AS412" s="5" t="s">
        <v>145</v>
      </c>
      <c r="AT412" s="278" t="s">
        <v>2031</v>
      </c>
      <c r="AV412" s="67">
        <f>$ZG$670</f>
        <v>179.1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733</v>
      </c>
      <c r="D413" s="67">
        <f>$HG$604</f>
        <v>2569.65</v>
      </c>
      <c r="E413" s="5" t="s">
        <v>146</v>
      </c>
      <c r="F413" s="278" t="s">
        <v>1</v>
      </c>
      <c r="H413" s="67">
        <f>$TA$610</f>
        <v>1478.3000000000002</v>
      </c>
      <c r="I413" s="5" t="s">
        <v>146</v>
      </c>
      <c r="J413" s="63" t="s">
        <v>728</v>
      </c>
      <c r="L413" s="67">
        <f>$TS$616</f>
        <v>1060.8</v>
      </c>
      <c r="M413" s="5" t="s">
        <v>146</v>
      </c>
      <c r="N413" s="278" t="s">
        <v>15</v>
      </c>
      <c r="P413" s="67">
        <f>$HY$622</f>
        <v>948.7</v>
      </c>
      <c r="Q413" s="5" t="s">
        <v>146</v>
      </c>
      <c r="R413" s="63" t="s">
        <v>153</v>
      </c>
      <c r="T413" s="67">
        <f>$KA$628</f>
        <v>631.5</v>
      </c>
      <c r="U413" s="5" t="s">
        <v>146</v>
      </c>
      <c r="V413" s="219" t="s">
        <v>1655</v>
      </c>
      <c r="X413" s="67">
        <f>$PO$634</f>
        <v>583</v>
      </c>
      <c r="Y413" s="5" t="s">
        <v>146</v>
      </c>
      <c r="Z413" s="63" t="s">
        <v>748</v>
      </c>
      <c r="AB413" s="67">
        <f>$GO$640</f>
        <v>428.5</v>
      </c>
      <c r="AC413" s="5" t="s">
        <v>146</v>
      </c>
      <c r="AD413" s="278" t="s">
        <v>2031</v>
      </c>
      <c r="AF413" s="67">
        <f>$ZG$646</f>
        <v>309.29999999999995</v>
      </c>
      <c r="AG413" s="5" t="s">
        <v>146</v>
      </c>
      <c r="AH413" s="63" t="s">
        <v>788</v>
      </c>
      <c r="AJ413" s="67">
        <f>$OE$652</f>
        <v>299.20000000000005</v>
      </c>
      <c r="AK413" s="5" t="s">
        <v>146</v>
      </c>
      <c r="AL413" s="219" t="s">
        <v>1660</v>
      </c>
      <c r="AN413" s="67">
        <f>$ND$658</f>
        <v>227.79999999999998</v>
      </c>
      <c r="AO413" s="5" t="s">
        <v>146</v>
      </c>
      <c r="AP413" s="63" t="s">
        <v>141</v>
      </c>
      <c r="AR413" s="67">
        <f>$GF$664</f>
        <v>146</v>
      </c>
      <c r="AS413" s="5" t="s">
        <v>146</v>
      </c>
      <c r="AT413" s="63" t="s">
        <v>764</v>
      </c>
      <c r="AV413" s="67">
        <f>$JR$670</f>
        <v>178.4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142</v>
      </c>
      <c r="D414" s="67">
        <f>$DU$604</f>
        <v>2551.0000000000005</v>
      </c>
      <c r="E414" s="5" t="s">
        <v>147</v>
      </c>
      <c r="F414" s="219" t="s">
        <v>1660</v>
      </c>
      <c r="H414" s="67">
        <f>$ND$610</f>
        <v>1467.4</v>
      </c>
      <c r="I414" s="5" t="s">
        <v>147</v>
      </c>
      <c r="J414" s="63" t="s">
        <v>790</v>
      </c>
      <c r="L414" s="67">
        <f>$IZ$616</f>
        <v>1060.6000000000001</v>
      </c>
      <c r="M414" s="5" t="s">
        <v>147</v>
      </c>
      <c r="N414" s="63" t="s">
        <v>142</v>
      </c>
      <c r="P414" s="67">
        <f>$DU$622</f>
        <v>944.7</v>
      </c>
      <c r="Q414" s="5" t="s">
        <v>147</v>
      </c>
      <c r="R414" s="278" t="s">
        <v>2056</v>
      </c>
      <c r="T414" s="67">
        <f>$ABR$628</f>
        <v>627</v>
      </c>
      <c r="U414" s="5" t="s">
        <v>147</v>
      </c>
      <c r="V414" s="63" t="s">
        <v>3390</v>
      </c>
      <c r="X414" s="67">
        <f>$ANC$634</f>
        <v>581.5</v>
      </c>
      <c r="Y414" s="5" t="s">
        <v>147</v>
      </c>
      <c r="Z414" s="63" t="s">
        <v>180</v>
      </c>
      <c r="AB414" s="67">
        <f>$AOD$640</f>
        <v>425.09999999999997</v>
      </c>
      <c r="AC414" s="5" t="s">
        <v>147</v>
      </c>
      <c r="AD414" s="278" t="s">
        <v>2027</v>
      </c>
      <c r="AF414" s="67">
        <f>$YF$646</f>
        <v>305.89999999999998</v>
      </c>
      <c r="AG414" s="5" t="s">
        <v>147</v>
      </c>
      <c r="AH414" s="278" t="s">
        <v>2012</v>
      </c>
      <c r="AJ414" s="67">
        <f>$RZ$652</f>
        <v>298.3</v>
      </c>
      <c r="AK414" s="5" t="s">
        <v>147</v>
      </c>
      <c r="AL414" s="278" t="s">
        <v>2030</v>
      </c>
      <c r="AN414" s="67">
        <f>$ACA$658</f>
        <v>225</v>
      </c>
      <c r="AO414" s="5" t="s">
        <v>147</v>
      </c>
      <c r="AP414" s="63" t="s">
        <v>778</v>
      </c>
      <c r="AR414" s="67">
        <f>$GX$664</f>
        <v>135.5</v>
      </c>
      <c r="AS414" s="5" t="s">
        <v>147</v>
      </c>
      <c r="AT414" s="63" t="s">
        <v>749</v>
      </c>
      <c r="AV414" s="67">
        <f>$EV$670</f>
        <v>173.7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3390</v>
      </c>
      <c r="D415" s="67">
        <f>$ANC$604</f>
        <v>2544</v>
      </c>
      <c r="E415" s="5" t="s">
        <v>151</v>
      </c>
      <c r="F415" s="63" t="s">
        <v>3389</v>
      </c>
      <c r="H415" s="67">
        <f>$AMT$610</f>
        <v>1464.2</v>
      </c>
      <c r="I415" s="5" t="s">
        <v>151</v>
      </c>
      <c r="J415" s="63" t="s">
        <v>3380</v>
      </c>
      <c r="L415" s="67">
        <f>$AJQ$616</f>
        <v>1060.0999999999999</v>
      </c>
      <c r="M415" s="5" t="s">
        <v>151</v>
      </c>
      <c r="N415" s="278" t="s">
        <v>2006</v>
      </c>
      <c r="P415" s="67">
        <f>$TJ$622</f>
        <v>938.80000000000007</v>
      </c>
      <c r="Q415" s="5" t="s">
        <v>151</v>
      </c>
      <c r="R415" s="63" t="s">
        <v>728</v>
      </c>
      <c r="T415" s="67">
        <f>$TS$628</f>
        <v>617.6</v>
      </c>
      <c r="U415" s="5" t="s">
        <v>151</v>
      </c>
      <c r="V415" s="278" t="s">
        <v>23</v>
      </c>
      <c r="X415" s="67">
        <f>$KS$634</f>
        <v>578.19999999999993</v>
      </c>
      <c r="Y415" s="5" t="s">
        <v>151</v>
      </c>
      <c r="Z415" s="63" t="s">
        <v>764</v>
      </c>
      <c r="AB415" s="67">
        <f>$JR$640</f>
        <v>418.20000000000005</v>
      </c>
      <c r="AC415" s="5" t="s">
        <v>151</v>
      </c>
      <c r="AD415" s="63" t="s">
        <v>790</v>
      </c>
      <c r="AF415" s="67">
        <f>$IZ$646</f>
        <v>304.70000000000005</v>
      </c>
      <c r="AG415" s="5" t="s">
        <v>151</v>
      </c>
      <c r="AH415" s="63" t="s">
        <v>771</v>
      </c>
      <c r="AJ415" s="67">
        <f>$MU$652</f>
        <v>294.39999999999998</v>
      </c>
      <c r="AK415" s="5" t="s">
        <v>151</v>
      </c>
      <c r="AL415" s="63" t="s">
        <v>3382</v>
      </c>
      <c r="AN415" s="67">
        <f>$AKI$658</f>
        <v>223.20000000000002</v>
      </c>
      <c r="AO415" s="5" t="s">
        <v>151</v>
      </c>
      <c r="AP415" s="219" t="s">
        <v>1662</v>
      </c>
      <c r="AR415" s="67">
        <f>$HP$664</f>
        <v>133.69999999999999</v>
      </c>
      <c r="AS415" s="5" t="s">
        <v>151</v>
      </c>
      <c r="AT415" s="278" t="s">
        <v>143</v>
      </c>
      <c r="AV415" s="67">
        <f>$CT$670</f>
        <v>169.20000000000002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9</v>
      </c>
      <c r="D416" s="67">
        <f>$LT$604</f>
        <v>2540.0000000000005</v>
      </c>
      <c r="E416" s="5" t="s">
        <v>157</v>
      </c>
      <c r="F416" s="63" t="s">
        <v>734</v>
      </c>
      <c r="H416" s="67">
        <f>$LK$610</f>
        <v>1456.6000000000001</v>
      </c>
      <c r="I416" s="5" t="s">
        <v>157</v>
      </c>
      <c r="J416" s="63" t="s">
        <v>180</v>
      </c>
      <c r="L416" s="67">
        <f>$AOD$616</f>
        <v>1059.2</v>
      </c>
      <c r="M416" s="5" t="s">
        <v>157</v>
      </c>
      <c r="N416" s="63" t="s">
        <v>3389</v>
      </c>
      <c r="P416" s="67">
        <f>$AMT$622</f>
        <v>934.6</v>
      </c>
      <c r="Q416" s="5" t="s">
        <v>157</v>
      </c>
      <c r="R416" s="278" t="s">
        <v>2030</v>
      </c>
      <c r="T416" s="67">
        <f>$ACA$628</f>
        <v>615</v>
      </c>
      <c r="U416" s="5" t="s">
        <v>157</v>
      </c>
      <c r="V416" s="63" t="s">
        <v>3403</v>
      </c>
      <c r="X416" s="67">
        <f>$APN$634</f>
        <v>565.90000000000009</v>
      </c>
      <c r="Y416" s="5" t="s">
        <v>157</v>
      </c>
      <c r="Z416" s="63" t="s">
        <v>778</v>
      </c>
      <c r="AB416" s="67">
        <f>$GX$640</f>
        <v>406</v>
      </c>
      <c r="AC416" s="5" t="s">
        <v>157</v>
      </c>
      <c r="AD416" s="278" t="s">
        <v>783</v>
      </c>
      <c r="AF416" s="67">
        <f>$CK$646</f>
        <v>302.49999999999994</v>
      </c>
      <c r="AG416" s="5" t="s">
        <v>157</v>
      </c>
      <c r="AH416" s="63" t="s">
        <v>790</v>
      </c>
      <c r="AJ416" s="67">
        <f>$IZ$652</f>
        <v>288.2</v>
      </c>
      <c r="AK416" s="5" t="s">
        <v>157</v>
      </c>
      <c r="AL416" s="63" t="s">
        <v>790</v>
      </c>
      <c r="AN416" s="67">
        <f>$IZ$658</f>
        <v>222.8</v>
      </c>
      <c r="AO416" s="5" t="s">
        <v>157</v>
      </c>
      <c r="AP416" s="219" t="s">
        <v>1659</v>
      </c>
      <c r="AR416" s="67">
        <f>$PF$664</f>
        <v>131.89999999999998</v>
      </c>
      <c r="AS416" s="5" t="s">
        <v>157</v>
      </c>
      <c r="AT416" s="219" t="s">
        <v>1662</v>
      </c>
      <c r="AV416" s="67">
        <f>$HP$670</f>
        <v>162.69999999999999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2015</v>
      </c>
      <c r="D417" s="67">
        <f>$VL$604</f>
        <v>2540.0000000000005</v>
      </c>
      <c r="E417" s="5" t="s">
        <v>159</v>
      </c>
      <c r="F417" s="278" t="s">
        <v>800</v>
      </c>
      <c r="H417" s="67">
        <f>$AR$610</f>
        <v>1434.3999999999999</v>
      </c>
      <c r="I417" s="5" t="s">
        <v>159</v>
      </c>
      <c r="J417" s="278" t="s">
        <v>2029</v>
      </c>
      <c r="L417" s="67">
        <f>$ZP$616</f>
        <v>1057.5</v>
      </c>
      <c r="M417" s="5" t="s">
        <v>159</v>
      </c>
      <c r="N417" s="278" t="s">
        <v>13</v>
      </c>
      <c r="P417" s="67">
        <f>$NV$622</f>
        <v>933.00000000000011</v>
      </c>
      <c r="Q417" s="5" t="s">
        <v>159</v>
      </c>
      <c r="R417" s="219" t="s">
        <v>1654</v>
      </c>
      <c r="T417" s="67">
        <f>$QY$628</f>
        <v>607.69999999999993</v>
      </c>
      <c r="U417" s="5" t="s">
        <v>159</v>
      </c>
      <c r="V417" s="278" t="s">
        <v>2027</v>
      </c>
      <c r="X417" s="67">
        <f>$YF$634</f>
        <v>565.20000000000005</v>
      </c>
      <c r="Y417" s="5" t="s">
        <v>159</v>
      </c>
      <c r="Z417" s="63" t="s">
        <v>746</v>
      </c>
      <c r="AB417" s="67">
        <f>$FW$640</f>
        <v>399.4</v>
      </c>
      <c r="AC417" s="5" t="s">
        <v>159</v>
      </c>
      <c r="AD417" s="63" t="s">
        <v>778</v>
      </c>
      <c r="AF417" s="67">
        <f>$GX$646</f>
        <v>298.89999999999998</v>
      </c>
      <c r="AG417" s="5" t="s">
        <v>159</v>
      </c>
      <c r="AH417" s="278" t="s">
        <v>17</v>
      </c>
      <c r="AJ417" s="67">
        <f>$DL$652</f>
        <v>287.09999999999997</v>
      </c>
      <c r="AK417" s="5" t="s">
        <v>159</v>
      </c>
      <c r="AL417" s="278" t="s">
        <v>2057</v>
      </c>
      <c r="AN417" s="67">
        <f>$AAZ$658</f>
        <v>221.7</v>
      </c>
      <c r="AO417" s="5" t="s">
        <v>159</v>
      </c>
      <c r="AP417" s="278" t="s">
        <v>2012</v>
      </c>
      <c r="AR417" s="67">
        <f>$RZ$664</f>
        <v>131.4</v>
      </c>
      <c r="AS417" s="5" t="s">
        <v>159</v>
      </c>
      <c r="AT417" s="63" t="s">
        <v>755</v>
      </c>
      <c r="AV417" s="67">
        <f>$OW$670</f>
        <v>161.60000000000002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154</v>
      </c>
      <c r="D418" s="67">
        <f>$Q$604</f>
        <v>2540.0000000000005</v>
      </c>
      <c r="E418" s="5" t="s">
        <v>160</v>
      </c>
      <c r="F418" s="219" t="s">
        <v>1656</v>
      </c>
      <c r="H418" s="67">
        <f>$QP$610</f>
        <v>1416.4</v>
      </c>
      <c r="I418" s="5" t="s">
        <v>160</v>
      </c>
      <c r="J418" s="278" t="s">
        <v>154</v>
      </c>
      <c r="L418" s="67">
        <f>$Q$616</f>
        <v>1052.5999999999999</v>
      </c>
      <c r="M418" s="5" t="s">
        <v>160</v>
      </c>
      <c r="N418" s="278" t="s">
        <v>154</v>
      </c>
      <c r="P418" s="67">
        <f>$Q$622</f>
        <v>931.80000000000007</v>
      </c>
      <c r="Q418" s="5" t="s">
        <v>160</v>
      </c>
      <c r="R418" s="278" t="s">
        <v>779</v>
      </c>
      <c r="T418" s="67">
        <f>$AI$628</f>
        <v>602.1</v>
      </c>
      <c r="U418" s="5" t="s">
        <v>160</v>
      </c>
      <c r="V418" s="278" t="s">
        <v>31</v>
      </c>
      <c r="X418" s="67">
        <f>$Z$634</f>
        <v>564.20000000000005</v>
      </c>
      <c r="Y418" s="5" t="s">
        <v>160</v>
      </c>
      <c r="Z418" s="278" t="s">
        <v>15</v>
      </c>
      <c r="AB418" s="67">
        <f>$HY$640</f>
        <v>398.5</v>
      </c>
      <c r="AC418" s="5" t="s">
        <v>160</v>
      </c>
      <c r="AD418" s="278" t="s">
        <v>2006</v>
      </c>
      <c r="AF418" s="67">
        <f>$TJ$646</f>
        <v>296.8</v>
      </c>
      <c r="AG418" s="5" t="s">
        <v>160</v>
      </c>
      <c r="AH418" s="278" t="s">
        <v>23</v>
      </c>
      <c r="AJ418" s="67">
        <f>$KS$652</f>
        <v>283.70000000000005</v>
      </c>
      <c r="AK418" s="5" t="s">
        <v>160</v>
      </c>
      <c r="AL418" s="63" t="s">
        <v>3390</v>
      </c>
      <c r="AN418" s="67">
        <f>$ANC$658</f>
        <v>219.3</v>
      </c>
      <c r="AO418" s="5" t="s">
        <v>160</v>
      </c>
      <c r="AP418" s="278" t="s">
        <v>779</v>
      </c>
      <c r="AR418" s="67">
        <f>$AI$664</f>
        <v>130</v>
      </c>
      <c r="AS418" s="5" t="s">
        <v>160</v>
      </c>
      <c r="AT418" s="219" t="s">
        <v>1654</v>
      </c>
      <c r="AV418" s="67">
        <f>$QY$670</f>
        <v>152.29999999999998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8" t="s">
        <v>143</v>
      </c>
      <c r="D419" s="67">
        <f>$CT$604</f>
        <v>2540.0000000000005</v>
      </c>
      <c r="E419" s="5" t="s">
        <v>161</v>
      </c>
      <c r="F419" s="278" t="s">
        <v>23</v>
      </c>
      <c r="H419" s="67">
        <f>$KS$610</f>
        <v>1410.7000000000003</v>
      </c>
      <c r="I419" s="5" t="s">
        <v>161</v>
      </c>
      <c r="J419" s="278" t="s">
        <v>15</v>
      </c>
      <c r="L419" s="67">
        <f>$HY$616</f>
        <v>1052</v>
      </c>
      <c r="M419" s="5" t="s">
        <v>161</v>
      </c>
      <c r="N419" s="63" t="s">
        <v>790</v>
      </c>
      <c r="P419" s="67">
        <f>$IZ$622</f>
        <v>923.3</v>
      </c>
      <c r="Q419" s="5" t="s">
        <v>161</v>
      </c>
      <c r="R419" s="63" t="s">
        <v>3390</v>
      </c>
      <c r="T419" s="67">
        <f>$ANC$628</f>
        <v>594.30000000000007</v>
      </c>
      <c r="U419" s="5" t="s">
        <v>161</v>
      </c>
      <c r="V419" s="219" t="s">
        <v>1654</v>
      </c>
      <c r="X419" s="67">
        <f>$QY$634</f>
        <v>560.79999999999995</v>
      </c>
      <c r="Y419" s="5" t="s">
        <v>161</v>
      </c>
      <c r="Z419" s="63" t="s">
        <v>738</v>
      </c>
      <c r="AB419" s="67">
        <f>$JI$640</f>
        <v>396.5</v>
      </c>
      <c r="AC419" s="5" t="s">
        <v>161</v>
      </c>
      <c r="AD419" s="63" t="s">
        <v>3405</v>
      </c>
      <c r="AF419" s="67">
        <f>$APW$646</f>
        <v>294.7</v>
      </c>
      <c r="AG419" s="5" t="s">
        <v>161</v>
      </c>
      <c r="AH419" s="278" t="s">
        <v>3373</v>
      </c>
      <c r="AJ419" s="67">
        <f>$AHF$652</f>
        <v>281.70000000000005</v>
      </c>
      <c r="AK419" s="5" t="s">
        <v>161</v>
      </c>
      <c r="AL419" s="28" t="s">
        <v>37</v>
      </c>
      <c r="AN419" s="67">
        <f>$DC$658</f>
        <v>215.3</v>
      </c>
      <c r="AO419" s="5" t="s">
        <v>161</v>
      </c>
      <c r="AP419" s="219" t="s">
        <v>1647</v>
      </c>
      <c r="AR419" s="67">
        <f>$FN$664</f>
        <v>129.19999999999999</v>
      </c>
      <c r="AS419" s="5" t="s">
        <v>161</v>
      </c>
      <c r="AT419" s="63" t="s">
        <v>142</v>
      </c>
      <c r="AV419" s="67">
        <f>$DU$670</f>
        <v>148.19999999999999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19" t="s">
        <v>1662</v>
      </c>
      <c r="D420" s="67">
        <f>$HP$604</f>
        <v>2540.0000000000005</v>
      </c>
      <c r="E420" s="5" t="s">
        <v>163</v>
      </c>
      <c r="F420" s="219" t="s">
        <v>1654</v>
      </c>
      <c r="H420" s="67">
        <f>$QY$610</f>
        <v>1405.4</v>
      </c>
      <c r="I420" s="5" t="s">
        <v>163</v>
      </c>
      <c r="J420" s="219" t="s">
        <v>1643</v>
      </c>
      <c r="L420" s="67">
        <f>$UB$616</f>
        <v>1046</v>
      </c>
      <c r="M420" s="5" t="s">
        <v>163</v>
      </c>
      <c r="N420" s="63" t="s">
        <v>757</v>
      </c>
      <c r="P420" s="67">
        <f>$LB$622</f>
        <v>918.4</v>
      </c>
      <c r="Q420" s="5" t="s">
        <v>163</v>
      </c>
      <c r="R420" s="278" t="s">
        <v>143</v>
      </c>
      <c r="T420" s="67">
        <f>$CT$628</f>
        <v>593.1</v>
      </c>
      <c r="U420" s="5" t="s">
        <v>163</v>
      </c>
      <c r="V420" s="63" t="s">
        <v>733</v>
      </c>
      <c r="X420" s="67">
        <f>$HG$634</f>
        <v>557.6</v>
      </c>
      <c r="Y420" s="5" t="s">
        <v>163</v>
      </c>
      <c r="Z420" s="278" t="s">
        <v>2027</v>
      </c>
      <c r="AB420" s="67">
        <f>$YF$640</f>
        <v>393.00000000000006</v>
      </c>
      <c r="AC420" s="5" t="s">
        <v>163</v>
      </c>
      <c r="AD420" s="219" t="s">
        <v>1655</v>
      </c>
      <c r="AF420" s="67">
        <f>$PO$646</f>
        <v>286.79999999999995</v>
      </c>
      <c r="AG420" s="5" t="s">
        <v>163</v>
      </c>
      <c r="AH420" s="278" t="s">
        <v>2161</v>
      </c>
      <c r="AJ420" s="67">
        <f>$XN$652</f>
        <v>280.40000000000003</v>
      </c>
      <c r="AK420" s="5" t="s">
        <v>163</v>
      </c>
      <c r="AL420" s="28" t="s">
        <v>155</v>
      </c>
      <c r="AN420" s="67">
        <f>$BS$658</f>
        <v>211.3</v>
      </c>
      <c r="AO420" s="5" t="s">
        <v>163</v>
      </c>
      <c r="AP420" s="278" t="s">
        <v>2054</v>
      </c>
      <c r="AR420" s="67">
        <f>$AAH$664</f>
        <v>121.89999999999999</v>
      </c>
      <c r="AS420" s="5" t="s">
        <v>163</v>
      </c>
      <c r="AT420" s="278" t="s">
        <v>11</v>
      </c>
      <c r="AV420" s="67">
        <f>$CB$670</f>
        <v>146.30000000000001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8" t="s">
        <v>779</v>
      </c>
      <c r="D421" s="67">
        <f>$AI$604</f>
        <v>2534.9</v>
      </c>
      <c r="E421" s="5" t="s">
        <v>275</v>
      </c>
      <c r="F421" s="63" t="s">
        <v>748</v>
      </c>
      <c r="H421" s="67">
        <f>$GO$610</f>
        <v>1389.3</v>
      </c>
      <c r="I421" s="5" t="s">
        <v>275</v>
      </c>
      <c r="J421" s="63" t="s">
        <v>33</v>
      </c>
      <c r="L421" s="67">
        <f>$BA$616</f>
        <v>1042.0999999999999</v>
      </c>
      <c r="M421" s="5" t="s">
        <v>275</v>
      </c>
      <c r="N421" s="63" t="s">
        <v>746</v>
      </c>
      <c r="P421" s="67">
        <f>$FW$622</f>
        <v>917.50000000000011</v>
      </c>
      <c r="Q421" s="5" t="s">
        <v>275</v>
      </c>
      <c r="R421" s="63" t="s">
        <v>3389</v>
      </c>
      <c r="T421" s="67">
        <f>$AMT$628</f>
        <v>591</v>
      </c>
      <c r="U421" s="5" t="s">
        <v>275</v>
      </c>
      <c r="V421" s="278" t="s">
        <v>2010</v>
      </c>
      <c r="X421" s="67">
        <f>$SI$634</f>
        <v>550.70000000000005</v>
      </c>
      <c r="Y421" s="5" t="s">
        <v>275</v>
      </c>
      <c r="Z421" s="278" t="s">
        <v>143</v>
      </c>
      <c r="AB421" s="67">
        <f>$CT$640</f>
        <v>378.8</v>
      </c>
      <c r="AC421" s="5" t="s">
        <v>275</v>
      </c>
      <c r="AD421" s="63" t="s">
        <v>141</v>
      </c>
      <c r="AF421" s="67">
        <f>$GF$646</f>
        <v>286</v>
      </c>
      <c r="AG421" s="5" t="s">
        <v>275</v>
      </c>
      <c r="AH421" s="278" t="s">
        <v>2031</v>
      </c>
      <c r="AJ421" s="67">
        <f>$ZG$652</f>
        <v>276.3</v>
      </c>
      <c r="AK421" s="5" t="s">
        <v>275</v>
      </c>
      <c r="AL421" s="278" t="s">
        <v>17</v>
      </c>
      <c r="AN421" s="67">
        <f>$DL$658</f>
        <v>211.2</v>
      </c>
      <c r="AO421" s="5" t="s">
        <v>275</v>
      </c>
      <c r="AP421" s="278" t="s">
        <v>2010</v>
      </c>
      <c r="AR421" s="67">
        <f>$SI$664</f>
        <v>120.39999999999999</v>
      </c>
      <c r="AS421" s="5" t="s">
        <v>275</v>
      </c>
      <c r="AT421" s="63" t="s">
        <v>153</v>
      </c>
      <c r="AV421" s="67">
        <f>$KA$670</f>
        <v>141.80000000000001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19" t="s">
        <v>1647</v>
      </c>
      <c r="D422" s="67">
        <f>$FN$604</f>
        <v>2532.2000000000003</v>
      </c>
      <c r="E422" s="5" t="s">
        <v>276</v>
      </c>
      <c r="F422" s="63" t="s">
        <v>3406</v>
      </c>
      <c r="H422" s="67">
        <f>$AQF$610</f>
        <v>1363.9</v>
      </c>
      <c r="I422" s="5" t="s">
        <v>276</v>
      </c>
      <c r="J422" s="63" t="s">
        <v>3389</v>
      </c>
      <c r="L422" s="67">
        <f>$AMT$616</f>
        <v>1034.2</v>
      </c>
      <c r="M422" s="5" t="s">
        <v>276</v>
      </c>
      <c r="N422" s="278" t="s">
        <v>1</v>
      </c>
      <c r="P422" s="67">
        <f>$TA$622</f>
        <v>911.09999999999991</v>
      </c>
      <c r="Q422" s="5" t="s">
        <v>276</v>
      </c>
      <c r="R422" s="63" t="s">
        <v>749</v>
      </c>
      <c r="T422" s="67">
        <f>$EV$628</f>
        <v>576</v>
      </c>
      <c r="U422" s="5" t="s">
        <v>276</v>
      </c>
      <c r="V422" s="63" t="s">
        <v>153</v>
      </c>
      <c r="X422" s="67">
        <f>$KA$634</f>
        <v>549.9</v>
      </c>
      <c r="Y422" s="5" t="s">
        <v>276</v>
      </c>
      <c r="Z422" s="63" t="s">
        <v>3375</v>
      </c>
      <c r="AB422" s="67">
        <f>$AHX$640</f>
        <v>378.09999999999997</v>
      </c>
      <c r="AC422" s="5" t="s">
        <v>276</v>
      </c>
      <c r="AD422" s="278" t="s">
        <v>9</v>
      </c>
      <c r="AF422" s="67">
        <f>$LT$646</f>
        <v>285.20000000000005</v>
      </c>
      <c r="AG422" s="5" t="s">
        <v>276</v>
      </c>
      <c r="AH422" s="278" t="s">
        <v>9</v>
      </c>
      <c r="AJ422" s="67">
        <f>$LT$652</f>
        <v>259</v>
      </c>
      <c r="AK422" s="5" t="s">
        <v>276</v>
      </c>
      <c r="AL422" s="63" t="s">
        <v>3381</v>
      </c>
      <c r="AN422" s="67">
        <f>$AJZ$658</f>
        <v>196.7</v>
      </c>
      <c r="AO422" s="5" t="s">
        <v>276</v>
      </c>
      <c r="AP422" s="63" t="s">
        <v>3383</v>
      </c>
      <c r="AR422" s="67">
        <f>$AKR$664</f>
        <v>119.7</v>
      </c>
      <c r="AS422" s="5" t="s">
        <v>276</v>
      </c>
      <c r="AT422" s="219" t="s">
        <v>1652</v>
      </c>
      <c r="AV422" s="67">
        <f>$ON$670</f>
        <v>140.6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2030</v>
      </c>
      <c r="D423" s="67">
        <f>$ACA$604</f>
        <v>2532.2000000000003</v>
      </c>
      <c r="E423" s="5" t="s">
        <v>277</v>
      </c>
      <c r="F423" s="63" t="s">
        <v>3405</v>
      </c>
      <c r="H423" s="67">
        <f>$APW$610</f>
        <v>1360.6999999999998</v>
      </c>
      <c r="I423" s="5" t="s">
        <v>277</v>
      </c>
      <c r="J423" s="63" t="s">
        <v>142</v>
      </c>
      <c r="L423" s="67">
        <f>$DU$616</f>
        <v>1024</v>
      </c>
      <c r="M423" s="5" t="s">
        <v>277</v>
      </c>
      <c r="N423" s="63" t="s">
        <v>3393</v>
      </c>
      <c r="P423" s="67">
        <f>$AOM$622</f>
        <v>901.7</v>
      </c>
      <c r="Q423" s="5" t="s">
        <v>277</v>
      </c>
      <c r="R423" s="63" t="s">
        <v>3405</v>
      </c>
      <c r="T423" s="67">
        <f>$APW$628</f>
        <v>574.59999999999991</v>
      </c>
      <c r="U423" s="5" t="s">
        <v>277</v>
      </c>
      <c r="V423" s="63" t="s">
        <v>3388</v>
      </c>
      <c r="X423" s="67">
        <f>$AMK$634</f>
        <v>549.30000000000007</v>
      </c>
      <c r="Y423" s="5" t="s">
        <v>277</v>
      </c>
      <c r="Z423" s="278" t="s">
        <v>2031</v>
      </c>
      <c r="AB423" s="67">
        <f>$ZG$640</f>
        <v>364.29999999999995</v>
      </c>
      <c r="AC423" s="5" t="s">
        <v>277</v>
      </c>
      <c r="AD423" s="278" t="s">
        <v>13</v>
      </c>
      <c r="AF423" s="67">
        <f>$NV$646</f>
        <v>282</v>
      </c>
      <c r="AG423" s="5" t="s">
        <v>277</v>
      </c>
      <c r="AH423" s="63" t="s">
        <v>782</v>
      </c>
      <c r="AJ423" s="67">
        <f>$QG$652</f>
        <v>256.3</v>
      </c>
      <c r="AK423" s="5" t="s">
        <v>277</v>
      </c>
      <c r="AL423" s="63" t="s">
        <v>746</v>
      </c>
      <c r="AN423" s="67">
        <f>$FW$658</f>
        <v>193.9</v>
      </c>
      <c r="AO423" s="5" t="s">
        <v>277</v>
      </c>
      <c r="AP423" s="278" t="s">
        <v>2014</v>
      </c>
      <c r="AR423" s="67">
        <f>$VC$664</f>
        <v>112.8</v>
      </c>
      <c r="AS423" s="5" t="s">
        <v>277</v>
      </c>
      <c r="AT423" s="278" t="s">
        <v>2057</v>
      </c>
      <c r="AV423" s="67">
        <f>$AAZ$670</f>
        <v>131.30000000000001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8" t="s">
        <v>31</v>
      </c>
      <c r="D424" s="67">
        <f>$Z$604</f>
        <v>2532.2000000000003</v>
      </c>
      <c r="E424" s="5" t="s">
        <v>278</v>
      </c>
      <c r="F424" s="63" t="s">
        <v>3377</v>
      </c>
      <c r="H424" s="67">
        <f>$AIP$610</f>
        <v>1358</v>
      </c>
      <c r="I424" s="5" t="s">
        <v>278</v>
      </c>
      <c r="J424" s="278" t="s">
        <v>800</v>
      </c>
      <c r="L424" s="67">
        <f>$AR$616</f>
        <v>1022</v>
      </c>
      <c r="M424" s="5" t="s">
        <v>278</v>
      </c>
      <c r="N424" s="63" t="s">
        <v>762</v>
      </c>
      <c r="P424" s="67">
        <f>$FE$622</f>
        <v>889.9</v>
      </c>
      <c r="Q424" s="5" t="s">
        <v>278</v>
      </c>
      <c r="R424" s="63" t="s">
        <v>753</v>
      </c>
      <c r="T424" s="67">
        <f>$EM$628</f>
        <v>574.5</v>
      </c>
      <c r="U424" s="5" t="s">
        <v>278</v>
      </c>
      <c r="V424" s="63" t="s">
        <v>749</v>
      </c>
      <c r="X424" s="67">
        <f>$EV$634</f>
        <v>539.5</v>
      </c>
      <c r="Y424" s="5" t="s">
        <v>278</v>
      </c>
      <c r="Z424" s="63" t="s">
        <v>3380</v>
      </c>
      <c r="AB424" s="67">
        <f>$AJQ$640</f>
        <v>363.2</v>
      </c>
      <c r="AC424" s="5" t="s">
        <v>278</v>
      </c>
      <c r="AD424" s="219" t="s">
        <v>1644</v>
      </c>
      <c r="AF424" s="67">
        <f>$UT$646</f>
        <v>278.8</v>
      </c>
      <c r="AG424" s="5" t="s">
        <v>278</v>
      </c>
      <c r="AH424" s="63" t="s">
        <v>749</v>
      </c>
      <c r="AJ424" s="67">
        <f>$EV$652</f>
        <v>254.7</v>
      </c>
      <c r="AK424" s="5" t="s">
        <v>278</v>
      </c>
      <c r="AL424" s="278" t="s">
        <v>2022</v>
      </c>
      <c r="AN424" s="67">
        <f>$SR$658</f>
        <v>192.10000000000002</v>
      </c>
      <c r="AO424" s="5" t="s">
        <v>278</v>
      </c>
      <c r="AP424" s="219" t="s">
        <v>1643</v>
      </c>
      <c r="AR424" s="67">
        <f>$UB$664</f>
        <v>105.3</v>
      </c>
      <c r="AS424" s="5" t="s">
        <v>278</v>
      </c>
      <c r="AT424" s="63" t="s">
        <v>3378</v>
      </c>
      <c r="AV424" s="67">
        <f>$AIY$670</f>
        <v>124.19999999999999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63" t="s">
        <v>33</v>
      </c>
      <c r="D425" s="67">
        <f>$BA$604</f>
        <v>2532.2000000000003</v>
      </c>
      <c r="E425" s="5" t="s">
        <v>735</v>
      </c>
      <c r="F425" s="278" t="s">
        <v>27</v>
      </c>
      <c r="H425" s="67">
        <f>$MC$610</f>
        <v>1341.9999999999998</v>
      </c>
      <c r="I425" s="5" t="s">
        <v>735</v>
      </c>
      <c r="J425" s="278" t="s">
        <v>2027</v>
      </c>
      <c r="L425" s="67">
        <f>$YF$616</f>
        <v>1017.4</v>
      </c>
      <c r="M425" s="5" t="s">
        <v>735</v>
      </c>
      <c r="N425" s="63" t="s">
        <v>3402</v>
      </c>
      <c r="P425" s="67">
        <f>$APE$622</f>
        <v>877.9</v>
      </c>
      <c r="Q425" s="5" t="s">
        <v>735</v>
      </c>
      <c r="R425" s="63" t="s">
        <v>3384</v>
      </c>
      <c r="T425" s="67">
        <f>$ALA$628</f>
        <v>573.6</v>
      </c>
      <c r="U425" s="5" t="s">
        <v>735</v>
      </c>
      <c r="V425" s="278" t="s">
        <v>17</v>
      </c>
      <c r="X425" s="67">
        <f>$DL$634</f>
        <v>533</v>
      </c>
      <c r="Y425" s="5" t="s">
        <v>735</v>
      </c>
      <c r="Z425" s="278" t="s">
        <v>2012</v>
      </c>
      <c r="AB425" s="67">
        <f>$RZ$640</f>
        <v>362.8</v>
      </c>
      <c r="AC425" s="5" t="s">
        <v>735</v>
      </c>
      <c r="AD425" s="278" t="s">
        <v>31</v>
      </c>
      <c r="AF425" s="67">
        <f>$Z$646</f>
        <v>274.8</v>
      </c>
      <c r="AG425" s="5" t="s">
        <v>735</v>
      </c>
      <c r="AH425" s="278" t="s">
        <v>2011</v>
      </c>
      <c r="AJ425" s="67">
        <f>$VU$652</f>
        <v>252.10000000000002</v>
      </c>
      <c r="AK425" s="5" t="s">
        <v>735</v>
      </c>
      <c r="AL425" s="63" t="s">
        <v>728</v>
      </c>
      <c r="AN425" s="67">
        <f>$TS$658</f>
        <v>190.29999999999998</v>
      </c>
      <c r="AO425" s="5" t="s">
        <v>735</v>
      </c>
      <c r="AP425" s="63" t="s">
        <v>3402</v>
      </c>
      <c r="AR425" s="67">
        <f>$APE$664</f>
        <v>93.699999999999989</v>
      </c>
      <c r="AS425" s="5" t="s">
        <v>735</v>
      </c>
      <c r="AT425" s="63" t="s">
        <v>3379</v>
      </c>
      <c r="AV425" s="67">
        <f>$AJH$670</f>
        <v>121.7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3405</v>
      </c>
      <c r="D426" s="67">
        <f>$APW$604</f>
        <v>2521.85</v>
      </c>
      <c r="E426" s="5" t="s">
        <v>736</v>
      </c>
      <c r="F426" s="63" t="s">
        <v>753</v>
      </c>
      <c r="H426" s="67">
        <f>$EM$610</f>
        <v>1331.6000000000001</v>
      </c>
      <c r="I426" s="5" t="s">
        <v>736</v>
      </c>
      <c r="J426" s="28" t="s">
        <v>37</v>
      </c>
      <c r="L426" s="67">
        <f>$DC$616</f>
        <v>1012.5</v>
      </c>
      <c r="M426" s="5" t="s">
        <v>736</v>
      </c>
      <c r="N426" s="219" t="s">
        <v>1647</v>
      </c>
      <c r="P426" s="67">
        <f>$FN$622</f>
        <v>875.40000000000009</v>
      </c>
      <c r="Q426" s="5" t="s">
        <v>736</v>
      </c>
      <c r="R426" s="278" t="s">
        <v>2011</v>
      </c>
      <c r="T426" s="67">
        <f>$VU$628</f>
        <v>566.20000000000005</v>
      </c>
      <c r="U426" s="5" t="s">
        <v>736</v>
      </c>
      <c r="V426" s="278" t="s">
        <v>2029</v>
      </c>
      <c r="X426" s="67">
        <f>$ZP$634</f>
        <v>530.29999999999995</v>
      </c>
      <c r="Y426" s="5" t="s">
        <v>736</v>
      </c>
      <c r="Z426" s="63" t="s">
        <v>3376</v>
      </c>
      <c r="AB426" s="67">
        <f>$AIG$640</f>
        <v>361.09999999999997</v>
      </c>
      <c r="AC426" s="5" t="s">
        <v>736</v>
      </c>
      <c r="AD426" s="63" t="s">
        <v>3393</v>
      </c>
      <c r="AF426" s="67">
        <f>$AOM$646</f>
        <v>274.3</v>
      </c>
      <c r="AG426" s="5" t="s">
        <v>736</v>
      </c>
      <c r="AH426" s="219" t="s">
        <v>1652</v>
      </c>
      <c r="AJ426" s="67">
        <f>$ON$652</f>
        <v>247.1</v>
      </c>
      <c r="AK426" s="5" t="s">
        <v>736</v>
      </c>
      <c r="AL426" s="63" t="s">
        <v>3378</v>
      </c>
      <c r="AN426" s="67">
        <f>$AIY$658</f>
        <v>185.8</v>
      </c>
      <c r="AO426" s="5" t="s">
        <v>736</v>
      </c>
      <c r="AP426" s="63" t="s">
        <v>746</v>
      </c>
      <c r="AR426" s="67">
        <f>$FW$664</f>
        <v>93.399999999999991</v>
      </c>
      <c r="AS426" s="5" t="s">
        <v>736</v>
      </c>
      <c r="AT426" s="278" t="s">
        <v>2014</v>
      </c>
      <c r="AV426" s="67">
        <f>$VC$670</f>
        <v>115.4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28" t="s">
        <v>155</v>
      </c>
      <c r="D427" s="67">
        <f>$BS$604</f>
        <v>2516.6000000000004</v>
      </c>
      <c r="E427" s="5" t="s">
        <v>737</v>
      </c>
      <c r="F427" s="278" t="s">
        <v>2006</v>
      </c>
      <c r="H427" s="67">
        <f>$TJ$610</f>
        <v>1318.4</v>
      </c>
      <c r="I427" s="5" t="s">
        <v>737</v>
      </c>
      <c r="J427" s="63" t="s">
        <v>734</v>
      </c>
      <c r="L427" s="67">
        <f>$LK$616</f>
        <v>1011.3</v>
      </c>
      <c r="M427" s="5" t="s">
        <v>737</v>
      </c>
      <c r="N427" s="63" t="s">
        <v>3379</v>
      </c>
      <c r="P427" s="67">
        <f>$AJH$622</f>
        <v>873.1</v>
      </c>
      <c r="Q427" s="5" t="s">
        <v>737</v>
      </c>
      <c r="R427" s="278" t="s">
        <v>2029</v>
      </c>
      <c r="T427" s="67">
        <f>$ZP$628</f>
        <v>554.40000000000009</v>
      </c>
      <c r="U427" s="5" t="s">
        <v>737</v>
      </c>
      <c r="V427" s="278" t="s">
        <v>2161</v>
      </c>
      <c r="X427" s="67">
        <f>$XN$634</f>
        <v>528.20000000000005</v>
      </c>
      <c r="Y427" s="5" t="s">
        <v>737</v>
      </c>
      <c r="Z427" s="219" t="s">
        <v>1657</v>
      </c>
      <c r="AB427" s="67">
        <f>$RH$640</f>
        <v>355</v>
      </c>
      <c r="AC427" s="5" t="s">
        <v>737</v>
      </c>
      <c r="AD427" s="278" t="s">
        <v>154</v>
      </c>
      <c r="AF427" s="67">
        <f>$Q$646</f>
        <v>266.60000000000002</v>
      </c>
      <c r="AG427" s="5" t="s">
        <v>737</v>
      </c>
      <c r="AH427" s="278" t="s">
        <v>13</v>
      </c>
      <c r="AJ427" s="67">
        <f>$NV$652</f>
        <v>243</v>
      </c>
      <c r="AK427" s="5" t="s">
        <v>737</v>
      </c>
      <c r="AL427" s="63" t="s">
        <v>771</v>
      </c>
      <c r="AN427" s="67">
        <f>$MU$658</f>
        <v>185.2</v>
      </c>
      <c r="AO427" s="5" t="s">
        <v>737</v>
      </c>
      <c r="AP427" s="278" t="s">
        <v>27</v>
      </c>
      <c r="AR427" s="67">
        <f>$MC$664</f>
        <v>90.2</v>
      </c>
      <c r="AS427" s="5" t="s">
        <v>737</v>
      </c>
      <c r="AT427" s="278" t="s">
        <v>2010</v>
      </c>
      <c r="AV427" s="67">
        <f>$SI$670</f>
        <v>111.6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778</v>
      </c>
      <c r="D428" s="67">
        <f>$GX$604</f>
        <v>2511</v>
      </c>
      <c r="E428" s="5" t="s">
        <v>739</v>
      </c>
      <c r="F428" s="63" t="s">
        <v>3387</v>
      </c>
      <c r="H428" s="67">
        <f>$AMB$610</f>
        <v>1308.5999999999999</v>
      </c>
      <c r="I428" s="5" t="s">
        <v>739</v>
      </c>
      <c r="J428" s="63" t="s">
        <v>738</v>
      </c>
      <c r="L428" s="67">
        <f>$JI$616</f>
        <v>1008.9999999999999</v>
      </c>
      <c r="M428" s="5" t="s">
        <v>739</v>
      </c>
      <c r="N428" s="63" t="s">
        <v>3390</v>
      </c>
      <c r="P428" s="67">
        <f>$ANC$622</f>
        <v>869.2</v>
      </c>
      <c r="Q428" s="5" t="s">
        <v>739</v>
      </c>
      <c r="R428" s="63" t="s">
        <v>763</v>
      </c>
      <c r="T428" s="67">
        <f>$NM$628</f>
        <v>547.5</v>
      </c>
      <c r="U428" s="5" t="s">
        <v>739</v>
      </c>
      <c r="V428" s="219" t="s">
        <v>1656</v>
      </c>
      <c r="X428" s="67">
        <f>$QP$634</f>
        <v>518</v>
      </c>
      <c r="Y428" s="5" t="s">
        <v>739</v>
      </c>
      <c r="Z428" s="63" t="s">
        <v>763</v>
      </c>
      <c r="AB428" s="67">
        <f>$NM$640</f>
        <v>353.69999999999993</v>
      </c>
      <c r="AC428" s="5" t="s">
        <v>739</v>
      </c>
      <c r="AD428" s="63" t="s">
        <v>734</v>
      </c>
      <c r="AF428" s="67">
        <f>$LK$646</f>
        <v>265.8</v>
      </c>
      <c r="AG428" s="5" t="s">
        <v>739</v>
      </c>
      <c r="AH428" s="278" t="s">
        <v>2056</v>
      </c>
      <c r="AJ428" s="67">
        <f>$ABR$652</f>
        <v>242.2</v>
      </c>
      <c r="AK428" s="5" t="s">
        <v>739</v>
      </c>
      <c r="AL428" s="278" t="s">
        <v>4520</v>
      </c>
      <c r="AN428" s="67">
        <f>$XW$658</f>
        <v>182.5</v>
      </c>
      <c r="AO428" s="5" t="s">
        <v>739</v>
      </c>
      <c r="AP428" s="278" t="s">
        <v>3373</v>
      </c>
      <c r="AR428" s="67">
        <f>$AHF$664</f>
        <v>89</v>
      </c>
      <c r="AS428" s="5" t="s">
        <v>739</v>
      </c>
      <c r="AT428" s="63" t="s">
        <v>3383</v>
      </c>
      <c r="AV428" s="67">
        <f>$AKR$670</f>
        <v>106.8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19" t="s">
        <v>1657</v>
      </c>
      <c r="D429" s="67">
        <f>$RH$604</f>
        <v>2509.1500000000005</v>
      </c>
      <c r="E429" s="5" t="s">
        <v>745</v>
      </c>
      <c r="F429" s="219" t="s">
        <v>1662</v>
      </c>
      <c r="H429" s="67">
        <f>$HP$610</f>
        <v>1299.6000000000001</v>
      </c>
      <c r="I429" s="5" t="s">
        <v>745</v>
      </c>
      <c r="J429" s="278" t="s">
        <v>2054</v>
      </c>
      <c r="L429" s="67">
        <f>$AAH$616</f>
        <v>1008</v>
      </c>
      <c r="M429" s="5" t="s">
        <v>745</v>
      </c>
      <c r="N429" s="63" t="s">
        <v>3394</v>
      </c>
      <c r="P429" s="67">
        <f>$AOV$622</f>
        <v>865.09999999999991</v>
      </c>
      <c r="Q429" s="5" t="s">
        <v>745</v>
      </c>
      <c r="R429" s="63" t="s">
        <v>782</v>
      </c>
      <c r="T429" s="67">
        <f>$QG$628</f>
        <v>543.30000000000007</v>
      </c>
      <c r="U429" s="5" t="s">
        <v>745</v>
      </c>
      <c r="V429" s="63" t="s">
        <v>3407</v>
      </c>
      <c r="X429" s="67">
        <f>$ANL$634</f>
        <v>516.9</v>
      </c>
      <c r="Y429" s="5" t="s">
        <v>745</v>
      </c>
      <c r="Z429" s="63" t="s">
        <v>3388</v>
      </c>
      <c r="AB429" s="67">
        <f>$AMK$640</f>
        <v>347.9</v>
      </c>
      <c r="AC429" s="5" t="s">
        <v>745</v>
      </c>
      <c r="AD429" s="278" t="s">
        <v>11</v>
      </c>
      <c r="AF429" s="67">
        <f>$CB$646</f>
        <v>264.5</v>
      </c>
      <c r="AG429" s="5" t="s">
        <v>745</v>
      </c>
      <c r="AH429" s="219" t="s">
        <v>1644</v>
      </c>
      <c r="AJ429" s="67">
        <f>$UT$652</f>
        <v>240.60000000000002</v>
      </c>
      <c r="AK429" s="5" t="s">
        <v>745</v>
      </c>
      <c r="AL429" s="63" t="s">
        <v>3394</v>
      </c>
      <c r="AN429" s="67">
        <f>$AOV$658</f>
        <v>181.6</v>
      </c>
      <c r="AO429" s="5" t="s">
        <v>745</v>
      </c>
      <c r="AP429" s="63" t="s">
        <v>757</v>
      </c>
      <c r="AR429" s="67">
        <f>$LB$664</f>
        <v>88.6</v>
      </c>
      <c r="AS429" s="5" t="s">
        <v>745</v>
      </c>
      <c r="AT429" s="278" t="s">
        <v>23</v>
      </c>
      <c r="AV429" s="67">
        <f>$KS$670</f>
        <v>103.2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2006</v>
      </c>
      <c r="D430" s="67">
        <f>$TJ$604</f>
        <v>2508.3000000000002</v>
      </c>
      <c r="E430" s="5" t="s">
        <v>747</v>
      </c>
      <c r="F430" s="278" t="s">
        <v>11</v>
      </c>
      <c r="H430" s="67">
        <f>$CB$610</f>
        <v>1293.2</v>
      </c>
      <c r="I430" s="5" t="s">
        <v>747</v>
      </c>
      <c r="J430" s="278" t="s">
        <v>2015</v>
      </c>
      <c r="L430" s="67">
        <f>$VL$616</f>
        <v>1005.3000000000001</v>
      </c>
      <c r="M430" s="5" t="s">
        <v>747</v>
      </c>
      <c r="N430" s="63" t="s">
        <v>771</v>
      </c>
      <c r="P430" s="67">
        <f>$MU$622</f>
        <v>858.09999999999991</v>
      </c>
      <c r="Q430" s="5" t="s">
        <v>747</v>
      </c>
      <c r="R430" s="63" t="s">
        <v>3382</v>
      </c>
      <c r="T430" s="67">
        <f>$AKI$628</f>
        <v>537.4</v>
      </c>
      <c r="U430" s="5" t="s">
        <v>747</v>
      </c>
      <c r="V430" s="63" t="s">
        <v>762</v>
      </c>
      <c r="X430" s="67">
        <f>$FE$634</f>
        <v>516.9</v>
      </c>
      <c r="Y430" s="5" t="s">
        <v>747</v>
      </c>
      <c r="Z430" s="219" t="s">
        <v>1644</v>
      </c>
      <c r="AB430" s="67">
        <f>$UT$640</f>
        <v>344.35</v>
      </c>
      <c r="AC430" s="5" t="s">
        <v>747</v>
      </c>
      <c r="AD430" s="63" t="s">
        <v>738</v>
      </c>
      <c r="AF430" s="67">
        <f>$JI$646</f>
        <v>262.60000000000002</v>
      </c>
      <c r="AG430" s="5" t="s">
        <v>747</v>
      </c>
      <c r="AH430" s="28" t="s">
        <v>37</v>
      </c>
      <c r="AJ430" s="67">
        <f>$DC$652</f>
        <v>238.3</v>
      </c>
      <c r="AK430" s="5" t="s">
        <v>747</v>
      </c>
      <c r="AL430" s="219" t="s">
        <v>1647</v>
      </c>
      <c r="AN430" s="67">
        <f>$FN$658</f>
        <v>167.79999999999998</v>
      </c>
      <c r="AO430" s="5" t="s">
        <v>747</v>
      </c>
      <c r="AP430" s="63" t="s">
        <v>771</v>
      </c>
      <c r="AR430" s="67">
        <f>$MU$664</f>
        <v>84</v>
      </c>
      <c r="AS430" s="5" t="s">
        <v>747</v>
      </c>
      <c r="AT430" s="63" t="s">
        <v>748</v>
      </c>
      <c r="AV430" s="67">
        <f>$GO$670</f>
        <v>100.39999999999999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17</v>
      </c>
      <c r="D431" s="67">
        <f>$DL$604</f>
        <v>2500.5</v>
      </c>
      <c r="E431" s="5" t="s">
        <v>750</v>
      </c>
      <c r="F431" s="219" t="s">
        <v>1647</v>
      </c>
      <c r="H431" s="67">
        <f>$FN$610</f>
        <v>1283.8</v>
      </c>
      <c r="I431" s="5" t="s">
        <v>750</v>
      </c>
      <c r="J431" s="63" t="s">
        <v>3402</v>
      </c>
      <c r="L431" s="67">
        <f>$APE$616</f>
        <v>998.7</v>
      </c>
      <c r="M431" s="5" t="s">
        <v>750</v>
      </c>
      <c r="N431" s="219" t="s">
        <v>1656</v>
      </c>
      <c r="P431" s="67">
        <f>$QP$622</f>
        <v>856.90000000000009</v>
      </c>
      <c r="Q431" s="5" t="s">
        <v>750</v>
      </c>
      <c r="R431" s="63" t="s">
        <v>733</v>
      </c>
      <c r="T431" s="67">
        <f>$HG$628</f>
        <v>534.5</v>
      </c>
      <c r="U431" s="5" t="s">
        <v>750</v>
      </c>
      <c r="V431" s="278" t="s">
        <v>11</v>
      </c>
      <c r="X431" s="67">
        <f>$CB$634</f>
        <v>513.5</v>
      </c>
      <c r="Y431" s="5" t="s">
        <v>750</v>
      </c>
      <c r="Z431" s="219" t="s">
        <v>1647</v>
      </c>
      <c r="AB431" s="67">
        <f>$FN$640</f>
        <v>334.7</v>
      </c>
      <c r="AC431" s="5" t="s">
        <v>750</v>
      </c>
      <c r="AD431" s="278" t="s">
        <v>2012</v>
      </c>
      <c r="AF431" s="67">
        <f>$RZ$646</f>
        <v>261.39999999999998</v>
      </c>
      <c r="AG431" s="5" t="s">
        <v>750</v>
      </c>
      <c r="AH431" s="278" t="s">
        <v>1</v>
      </c>
      <c r="AJ431" s="67">
        <f>$TA$652</f>
        <v>234.90000000000003</v>
      </c>
      <c r="AK431" s="5" t="s">
        <v>750</v>
      </c>
      <c r="AL431" s="63" t="s">
        <v>25</v>
      </c>
      <c r="AN431" s="67">
        <f>$BJ$658</f>
        <v>166.2</v>
      </c>
      <c r="AO431" s="5" t="s">
        <v>750</v>
      </c>
      <c r="AP431" s="278" t="s">
        <v>15</v>
      </c>
      <c r="AR431" s="67">
        <f>$HY$664</f>
        <v>84</v>
      </c>
      <c r="AS431" s="5" t="s">
        <v>750</v>
      </c>
      <c r="AT431" s="63" t="s">
        <v>3382</v>
      </c>
      <c r="AV431" s="67">
        <f>$AKI$670</f>
        <v>99.3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219" t="s">
        <v>1644</v>
      </c>
      <c r="D432" s="67">
        <f>$UT$604</f>
        <v>2497.3999999999996</v>
      </c>
      <c r="E432" s="5" t="s">
        <v>751</v>
      </c>
      <c r="F432" s="63" t="s">
        <v>3402</v>
      </c>
      <c r="H432" s="67">
        <f>$APE$610</f>
        <v>1280.9000000000001</v>
      </c>
      <c r="I432" s="5" t="s">
        <v>751</v>
      </c>
      <c r="J432" s="278" t="s">
        <v>4520</v>
      </c>
      <c r="L432" s="67">
        <f>$XW$616</f>
        <v>992.19999999999993</v>
      </c>
      <c r="M432" s="5" t="s">
        <v>751</v>
      </c>
      <c r="N432" s="63" t="s">
        <v>3405</v>
      </c>
      <c r="P432" s="67">
        <f>$APW$622</f>
        <v>851.09999999999991</v>
      </c>
      <c r="Q432" s="5" t="s">
        <v>751</v>
      </c>
      <c r="R432" s="63" t="s">
        <v>3386</v>
      </c>
      <c r="T432" s="67">
        <f>$ALS$628</f>
        <v>521.6</v>
      </c>
      <c r="U432" s="5" t="s">
        <v>751</v>
      </c>
      <c r="V432" s="63" t="s">
        <v>796</v>
      </c>
      <c r="X432" s="67">
        <f>$KJ$634</f>
        <v>506.9</v>
      </c>
      <c r="Y432" s="5" t="s">
        <v>751</v>
      </c>
      <c r="Z432" s="219" t="s">
        <v>1652</v>
      </c>
      <c r="AB432" s="67">
        <f>$ON$640</f>
        <v>322.5</v>
      </c>
      <c r="AC432" s="5" t="s">
        <v>751</v>
      </c>
      <c r="AD432" s="63" t="s">
        <v>3407</v>
      </c>
      <c r="AF432" s="67">
        <f>$ANL$646</f>
        <v>257.5</v>
      </c>
      <c r="AG432" s="5" t="s">
        <v>751</v>
      </c>
      <c r="AH432" s="63" t="s">
        <v>3377</v>
      </c>
      <c r="AJ432" s="67">
        <f>$AIP$652</f>
        <v>234.4</v>
      </c>
      <c r="AK432" s="5" t="s">
        <v>751</v>
      </c>
      <c r="AL432" s="63" t="s">
        <v>782</v>
      </c>
      <c r="AN432" s="67">
        <f>$QG$658</f>
        <v>165.60000000000002</v>
      </c>
      <c r="AO432" s="5" t="s">
        <v>751</v>
      </c>
      <c r="AP432" s="63" t="s">
        <v>753</v>
      </c>
      <c r="AR432" s="67">
        <f>$EM$664</f>
        <v>84</v>
      </c>
      <c r="AS432" s="5" t="s">
        <v>751</v>
      </c>
      <c r="AT432" s="63" t="s">
        <v>757</v>
      </c>
      <c r="AV432" s="67">
        <f>$LB$670</f>
        <v>98.1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162</v>
      </c>
      <c r="D433" s="67">
        <f>$IQ$604</f>
        <v>2492.2000000000003</v>
      </c>
      <c r="E433" s="5" t="s">
        <v>754</v>
      </c>
      <c r="F433" s="28" t="s">
        <v>37</v>
      </c>
      <c r="H433" s="67">
        <f>$DC$610</f>
        <v>1274.7</v>
      </c>
      <c r="I433" s="5" t="s">
        <v>754</v>
      </c>
      <c r="J433" s="278" t="s">
        <v>11</v>
      </c>
      <c r="L433" s="67">
        <f>$CB$616</f>
        <v>974.4</v>
      </c>
      <c r="M433" s="5" t="s">
        <v>754</v>
      </c>
      <c r="N433" s="63" t="s">
        <v>3407</v>
      </c>
      <c r="P433" s="67">
        <f>$ANL$622</f>
        <v>848.6</v>
      </c>
      <c r="Q433" s="5" t="s">
        <v>754</v>
      </c>
      <c r="R433" s="63" t="s">
        <v>748</v>
      </c>
      <c r="T433" s="67">
        <f>$GO$628</f>
        <v>517.79999999999995</v>
      </c>
      <c r="U433" s="5" t="s">
        <v>754</v>
      </c>
      <c r="V433" s="278" t="s">
        <v>2012</v>
      </c>
      <c r="X433" s="67">
        <f>$RZ$634</f>
        <v>506.8</v>
      </c>
      <c r="Y433" s="5" t="s">
        <v>754</v>
      </c>
      <c r="Z433" s="63" t="s">
        <v>762</v>
      </c>
      <c r="AB433" s="67">
        <f>$FE$640</f>
        <v>321.60000000000002</v>
      </c>
      <c r="AC433" s="5" t="s">
        <v>754</v>
      </c>
      <c r="AD433" s="63" t="s">
        <v>733</v>
      </c>
      <c r="AF433" s="67">
        <f>$HG$646</f>
        <v>256.2</v>
      </c>
      <c r="AG433" s="5" t="s">
        <v>754</v>
      </c>
      <c r="AH433" s="278" t="s">
        <v>783</v>
      </c>
      <c r="AJ433" s="67">
        <f>$CK$652</f>
        <v>230.70000000000002</v>
      </c>
      <c r="AK433" s="5" t="s">
        <v>754</v>
      </c>
      <c r="AL433" s="63" t="s">
        <v>753</v>
      </c>
      <c r="AN433" s="67">
        <f>$EM$658</f>
        <v>165.5</v>
      </c>
      <c r="AO433" s="5" t="s">
        <v>754</v>
      </c>
      <c r="AP433" s="63" t="s">
        <v>3379</v>
      </c>
      <c r="AR433" s="67">
        <f>$AJH$664</f>
        <v>78.399999999999991</v>
      </c>
      <c r="AS433" s="5" t="s">
        <v>754</v>
      </c>
      <c r="AT433" s="278" t="s">
        <v>154</v>
      </c>
      <c r="AV433" s="67">
        <f>$Q$670</f>
        <v>98.1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3387</v>
      </c>
      <c r="D434" s="67">
        <f>$AMB$604</f>
        <v>2489.1499999999996</v>
      </c>
      <c r="E434" s="5" t="s">
        <v>756</v>
      </c>
      <c r="F434" s="63" t="s">
        <v>142</v>
      </c>
      <c r="H434" s="67">
        <f>$DU$610</f>
        <v>1267.1000000000001</v>
      </c>
      <c r="I434" s="5" t="s">
        <v>756</v>
      </c>
      <c r="J434" s="219" t="s">
        <v>1656</v>
      </c>
      <c r="L434" s="67">
        <f>$QP$616</f>
        <v>973.5</v>
      </c>
      <c r="M434" s="5" t="s">
        <v>756</v>
      </c>
      <c r="N434" s="63" t="s">
        <v>3381</v>
      </c>
      <c r="P434" s="67">
        <f>$AJZ$622</f>
        <v>834.2</v>
      </c>
      <c r="Q434" s="5" t="s">
        <v>756</v>
      </c>
      <c r="R434" s="63" t="s">
        <v>3406</v>
      </c>
      <c r="T434" s="67">
        <f>$AQF$628</f>
        <v>513.80000000000007</v>
      </c>
      <c r="U434" s="5" t="s">
        <v>756</v>
      </c>
      <c r="V434" s="63" t="s">
        <v>162</v>
      </c>
      <c r="X434" s="67">
        <f>$IQ$634</f>
        <v>501.9</v>
      </c>
      <c r="Y434" s="5" t="s">
        <v>756</v>
      </c>
      <c r="Z434" s="63" t="s">
        <v>749</v>
      </c>
      <c r="AB434" s="67">
        <f>$EV$640</f>
        <v>319.7</v>
      </c>
      <c r="AC434" s="5" t="s">
        <v>756</v>
      </c>
      <c r="AD434" s="63" t="s">
        <v>3386</v>
      </c>
      <c r="AF434" s="67">
        <f>$ALS$646</f>
        <v>255.2</v>
      </c>
      <c r="AG434" s="5" t="s">
        <v>756</v>
      </c>
      <c r="AH434" s="219" t="s">
        <v>1654</v>
      </c>
      <c r="AJ434" s="67">
        <f>$QY$652</f>
        <v>222.7</v>
      </c>
      <c r="AK434" s="5" t="s">
        <v>756</v>
      </c>
      <c r="AL434" s="278" t="s">
        <v>3374</v>
      </c>
      <c r="AN434" s="67">
        <f>$AHO$658</f>
        <v>160.19999999999999</v>
      </c>
      <c r="AO434" s="5" t="s">
        <v>756</v>
      </c>
      <c r="AP434" s="63" t="s">
        <v>3390</v>
      </c>
      <c r="AR434" s="67">
        <f>$ANC$664</f>
        <v>76.900000000000006</v>
      </c>
      <c r="AS434" s="5" t="s">
        <v>756</v>
      </c>
      <c r="AT434" s="278" t="s">
        <v>2056</v>
      </c>
      <c r="AV434" s="67">
        <f>$ABR$670</f>
        <v>95.5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278" t="s">
        <v>4520</v>
      </c>
      <c r="D435" s="67">
        <f>$XW$604</f>
        <v>2477.6</v>
      </c>
      <c r="E435" s="5" t="s">
        <v>761</v>
      </c>
      <c r="F435" s="63" t="s">
        <v>180</v>
      </c>
      <c r="H435" s="67">
        <f>$AOD$610</f>
        <v>1264.5000000000002</v>
      </c>
      <c r="I435" s="5" t="s">
        <v>761</v>
      </c>
      <c r="J435" s="63" t="s">
        <v>3375</v>
      </c>
      <c r="L435" s="67">
        <f>$AHX$616</f>
        <v>954.9</v>
      </c>
      <c r="M435" s="5" t="s">
        <v>761</v>
      </c>
      <c r="N435" s="63" t="s">
        <v>25</v>
      </c>
      <c r="P435" s="67">
        <f>$BJ$622</f>
        <v>833.69999999999993</v>
      </c>
      <c r="Q435" s="5" t="s">
        <v>761</v>
      </c>
      <c r="R435" s="63" t="s">
        <v>3375</v>
      </c>
      <c r="T435" s="67">
        <f>$AHX$628</f>
        <v>498.1</v>
      </c>
      <c r="U435" s="5" t="s">
        <v>761</v>
      </c>
      <c r="V435" s="63" t="s">
        <v>764</v>
      </c>
      <c r="X435" s="67">
        <f>$JR$634</f>
        <v>497.1</v>
      </c>
      <c r="Y435" s="5" t="s">
        <v>761</v>
      </c>
      <c r="Z435" s="63" t="s">
        <v>3405</v>
      </c>
      <c r="AB435" s="67">
        <f>$APW$640</f>
        <v>316.59999999999997</v>
      </c>
      <c r="AC435" s="5" t="s">
        <v>761</v>
      </c>
      <c r="AD435" s="219" t="s">
        <v>1662</v>
      </c>
      <c r="AF435" s="67">
        <f>$HP$646</f>
        <v>253</v>
      </c>
      <c r="AG435" s="5" t="s">
        <v>761</v>
      </c>
      <c r="AH435" s="63" t="s">
        <v>796</v>
      </c>
      <c r="AJ435" s="67">
        <f>$KJ$652</f>
        <v>216.6</v>
      </c>
      <c r="AK435" s="5" t="s">
        <v>761</v>
      </c>
      <c r="AL435" s="63" t="s">
        <v>748</v>
      </c>
      <c r="AN435" s="67">
        <f>$GO$658</f>
        <v>159.30000000000001</v>
      </c>
      <c r="AO435" s="5" t="s">
        <v>761</v>
      </c>
      <c r="AP435" s="278" t="s">
        <v>2161</v>
      </c>
      <c r="AR435" s="67">
        <f>$XN$664</f>
        <v>75.400000000000006</v>
      </c>
      <c r="AS435" s="5" t="s">
        <v>761</v>
      </c>
      <c r="AT435" s="63" t="s">
        <v>3402</v>
      </c>
      <c r="AV435" s="67">
        <f>$APE$670</f>
        <v>95.3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3391</v>
      </c>
      <c r="D436" s="67">
        <f>$ANU$604</f>
        <v>2464.4</v>
      </c>
      <c r="E436" s="5" t="s">
        <v>765</v>
      </c>
      <c r="F436" s="219" t="s">
        <v>1643</v>
      </c>
      <c r="H436" s="67">
        <f>$UB$610</f>
        <v>1262.1000000000001</v>
      </c>
      <c r="I436" s="5" t="s">
        <v>765</v>
      </c>
      <c r="J436" s="278" t="s">
        <v>3374</v>
      </c>
      <c r="L436" s="67">
        <f>$AHO$616</f>
        <v>951.09999999999991</v>
      </c>
      <c r="M436" s="5" t="s">
        <v>765</v>
      </c>
      <c r="N436" s="278" t="s">
        <v>2054</v>
      </c>
      <c r="P436" s="67">
        <f>$AAH$622</f>
        <v>822.30000000000007</v>
      </c>
      <c r="Q436" s="5" t="s">
        <v>765</v>
      </c>
      <c r="R436" s="63" t="s">
        <v>21</v>
      </c>
      <c r="T436" s="67">
        <f>$H$628</f>
        <v>496.59999999999997</v>
      </c>
      <c r="U436" s="5" t="s">
        <v>765</v>
      </c>
      <c r="V436" s="63" t="s">
        <v>782</v>
      </c>
      <c r="X436" s="67">
        <f>$QG$634</f>
        <v>496.1</v>
      </c>
      <c r="Y436" s="5" t="s">
        <v>765</v>
      </c>
      <c r="Z436" s="278" t="s">
        <v>2034</v>
      </c>
      <c r="AB436" s="67">
        <f>$ZY$640</f>
        <v>311.79999999999995</v>
      </c>
      <c r="AC436" s="5" t="s">
        <v>765</v>
      </c>
      <c r="AD436" s="278" t="s">
        <v>779</v>
      </c>
      <c r="AF436" s="67">
        <f>$AI$646</f>
        <v>252.89999999999998</v>
      </c>
      <c r="AG436" s="5" t="s">
        <v>765</v>
      </c>
      <c r="AH436" s="219" t="s">
        <v>1657</v>
      </c>
      <c r="AJ436" s="67">
        <f>$RH$652</f>
        <v>216.40000000000003</v>
      </c>
      <c r="AK436" s="5" t="s">
        <v>765</v>
      </c>
      <c r="AL436" s="278" t="s">
        <v>2034</v>
      </c>
      <c r="AN436" s="67">
        <f>$ZY$658</f>
        <v>155.4</v>
      </c>
      <c r="AO436" s="5" t="s">
        <v>765</v>
      </c>
      <c r="AP436" s="278" t="s">
        <v>23</v>
      </c>
      <c r="AR436" s="67">
        <f>$KS$664</f>
        <v>75</v>
      </c>
      <c r="AS436" s="5" t="s">
        <v>765</v>
      </c>
      <c r="AT436" s="63" t="s">
        <v>771</v>
      </c>
      <c r="AV436" s="67">
        <f>$MU$670</f>
        <v>95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2463.8999999999996</v>
      </c>
      <c r="E437" s="5" t="s">
        <v>766</v>
      </c>
      <c r="F437" s="63" t="s">
        <v>3385</v>
      </c>
      <c r="H437" s="67">
        <f>$ALJ$610</f>
        <v>1241.5</v>
      </c>
      <c r="I437" s="5" t="s">
        <v>766</v>
      </c>
      <c r="J437" s="63" t="s">
        <v>749</v>
      </c>
      <c r="L437" s="67">
        <f>$EV$616</f>
        <v>950.3</v>
      </c>
      <c r="M437" s="5" t="s">
        <v>766</v>
      </c>
      <c r="N437" s="219" t="s">
        <v>1655</v>
      </c>
      <c r="P437" s="67">
        <f>$PO$622</f>
        <v>821.7</v>
      </c>
      <c r="Q437" s="5" t="s">
        <v>766</v>
      </c>
      <c r="R437" s="63" t="s">
        <v>3387</v>
      </c>
      <c r="T437" s="67">
        <f>$AMB$628</f>
        <v>495.1</v>
      </c>
      <c r="U437" s="5" t="s">
        <v>766</v>
      </c>
      <c r="V437" s="63" t="s">
        <v>3384</v>
      </c>
      <c r="X437" s="67">
        <f>$ALA$634</f>
        <v>492.59999999999997</v>
      </c>
      <c r="Y437" s="5" t="s">
        <v>766</v>
      </c>
      <c r="Z437" s="278" t="s">
        <v>800</v>
      </c>
      <c r="AB437" s="67">
        <f>$AR$640</f>
        <v>310.7</v>
      </c>
      <c r="AC437" s="5" t="s">
        <v>766</v>
      </c>
      <c r="AD437" s="63" t="s">
        <v>3383</v>
      </c>
      <c r="AF437" s="67">
        <f>$AKR$646</f>
        <v>252.7</v>
      </c>
      <c r="AG437" s="5" t="s">
        <v>766</v>
      </c>
      <c r="AH437" s="63" t="s">
        <v>3394</v>
      </c>
      <c r="AJ437" s="67">
        <f>$AOV$652</f>
        <v>216.1</v>
      </c>
      <c r="AK437" s="5" t="s">
        <v>766</v>
      </c>
      <c r="AL437" s="219" t="s">
        <v>1659</v>
      </c>
      <c r="AN437" s="67">
        <f>$PF$658</f>
        <v>149.19999999999999</v>
      </c>
      <c r="AO437" s="5" t="s">
        <v>766</v>
      </c>
      <c r="AP437" s="63" t="s">
        <v>33</v>
      </c>
      <c r="AR437" s="67">
        <f>$BA$664</f>
        <v>73.900000000000006</v>
      </c>
      <c r="AS437" s="5" t="s">
        <v>766</v>
      </c>
      <c r="AT437" s="63" t="s">
        <v>25</v>
      </c>
      <c r="AV437" s="67">
        <f>$BJ$670</f>
        <v>94.300000000000011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13</v>
      </c>
      <c r="D438" s="67">
        <f>$NV$604</f>
        <v>2461.4999999999995</v>
      </c>
      <c r="E438" s="5" t="s">
        <v>767</v>
      </c>
      <c r="F438" s="219" t="s">
        <v>1659</v>
      </c>
      <c r="H438" s="67">
        <f>$PF$610</f>
        <v>1208.3</v>
      </c>
      <c r="I438" s="5" t="s">
        <v>767</v>
      </c>
      <c r="J438" s="278" t="s">
        <v>2031</v>
      </c>
      <c r="L438" s="67">
        <f>$ZG$616</f>
        <v>948.2</v>
      </c>
      <c r="M438" s="5" t="s">
        <v>767</v>
      </c>
      <c r="N438" s="63" t="s">
        <v>3380</v>
      </c>
      <c r="P438" s="67">
        <f>$AJQ$622</f>
        <v>810.2</v>
      </c>
      <c r="Q438" s="5" t="s">
        <v>767</v>
      </c>
      <c r="R438" s="278" t="s">
        <v>154</v>
      </c>
      <c r="T438" s="67">
        <f>$Q$628</f>
        <v>490.9</v>
      </c>
      <c r="U438" s="5" t="s">
        <v>767</v>
      </c>
      <c r="V438" s="278" t="s">
        <v>2015</v>
      </c>
      <c r="X438" s="67">
        <f>$VL$634</f>
        <v>491.7</v>
      </c>
      <c r="Y438" s="5" t="s">
        <v>767</v>
      </c>
      <c r="Z438" s="63" t="s">
        <v>162</v>
      </c>
      <c r="AB438" s="67">
        <f>$IQ$640</f>
        <v>310</v>
      </c>
      <c r="AC438" s="5" t="s">
        <v>767</v>
      </c>
      <c r="AD438" s="63" t="s">
        <v>3406</v>
      </c>
      <c r="AF438" s="67">
        <f>$AQF$646</f>
        <v>250.70000000000002</v>
      </c>
      <c r="AG438" s="5" t="s">
        <v>767</v>
      </c>
      <c r="AH438" s="278" t="s">
        <v>2007</v>
      </c>
      <c r="AJ438" s="67">
        <f>$WM$652</f>
        <v>211.9</v>
      </c>
      <c r="AK438" s="5" t="s">
        <v>767</v>
      </c>
      <c r="AL438" s="63" t="s">
        <v>3402</v>
      </c>
      <c r="AN438" s="67">
        <f>$APE$658</f>
        <v>148.70000000000002</v>
      </c>
      <c r="AO438" s="5" t="s">
        <v>767</v>
      </c>
      <c r="AP438" s="219" t="s">
        <v>1656</v>
      </c>
      <c r="AR438" s="67">
        <f>$QP$664</f>
        <v>67.3</v>
      </c>
      <c r="AS438" s="5" t="s">
        <v>767</v>
      </c>
      <c r="AT438" s="278" t="s">
        <v>2006</v>
      </c>
      <c r="AV438" s="67">
        <f>$TJ$670</f>
        <v>93.6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3385</v>
      </c>
      <c r="D439" s="67">
        <f>$ALJ$604</f>
        <v>2425.5</v>
      </c>
      <c r="E439" s="5" t="s">
        <v>773</v>
      </c>
      <c r="F439" s="278" t="s">
        <v>2161</v>
      </c>
      <c r="H439" s="67">
        <f>$XN$610</f>
        <v>1201.1000000000001</v>
      </c>
      <c r="I439" s="5" t="s">
        <v>773</v>
      </c>
      <c r="J439" s="278" t="s">
        <v>783</v>
      </c>
      <c r="L439" s="67">
        <f>$CK$616</f>
        <v>947.9</v>
      </c>
      <c r="M439" s="5" t="s">
        <v>773</v>
      </c>
      <c r="N439" s="278" t="s">
        <v>2022</v>
      </c>
      <c r="P439" s="67">
        <f>$SR$622</f>
        <v>802.4</v>
      </c>
      <c r="Q439" s="5" t="s">
        <v>773</v>
      </c>
      <c r="R439" s="219" t="s">
        <v>1659</v>
      </c>
      <c r="T439" s="67">
        <f>$PF$628</f>
        <v>489.40000000000003</v>
      </c>
      <c r="U439" s="5" t="s">
        <v>773</v>
      </c>
      <c r="V439" s="63" t="s">
        <v>790</v>
      </c>
      <c r="X439" s="67">
        <f>$IZ$634</f>
        <v>486.99999999999994</v>
      </c>
      <c r="Y439" s="5" t="s">
        <v>773</v>
      </c>
      <c r="Z439" s="278" t="s">
        <v>13</v>
      </c>
      <c r="AB439" s="67">
        <f>$NV$640</f>
        <v>308.89999999999998</v>
      </c>
      <c r="AC439" s="5" t="s">
        <v>773</v>
      </c>
      <c r="AD439" s="219" t="s">
        <v>1653</v>
      </c>
      <c r="AF439" s="67">
        <f>$ML$646</f>
        <v>246.29999999999998</v>
      </c>
      <c r="AG439" s="5" t="s">
        <v>773</v>
      </c>
      <c r="AH439" s="63" t="s">
        <v>153</v>
      </c>
      <c r="AJ439" s="67">
        <f>$KA$652</f>
        <v>194.39999999999998</v>
      </c>
      <c r="AK439" s="5" t="s">
        <v>773</v>
      </c>
      <c r="AL439" s="278" t="s">
        <v>800</v>
      </c>
      <c r="AN439" s="67">
        <f>$AR$658</f>
        <v>145.9</v>
      </c>
      <c r="AO439" s="5" t="s">
        <v>773</v>
      </c>
      <c r="AP439" s="278" t="s">
        <v>17</v>
      </c>
      <c r="AR439" s="67">
        <f>$DL$664</f>
        <v>62.4</v>
      </c>
      <c r="AS439" s="5" t="s">
        <v>773</v>
      </c>
      <c r="AT439" s="278" t="s">
        <v>9</v>
      </c>
      <c r="AV439" s="67">
        <f>$LT$670</f>
        <v>85.8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3381</v>
      </c>
      <c r="D440" s="67">
        <f>$AJZ$604</f>
        <v>2422.1000000000004</v>
      </c>
      <c r="E440" s="5" t="s">
        <v>781</v>
      </c>
      <c r="F440" s="278" t="s">
        <v>2027</v>
      </c>
      <c r="H440" s="67">
        <f>$YF$610</f>
        <v>1193.9000000000001</v>
      </c>
      <c r="I440" s="5" t="s">
        <v>781</v>
      </c>
      <c r="J440" s="63" t="s">
        <v>162</v>
      </c>
      <c r="L440" s="67">
        <f>$IQ$616</f>
        <v>941.80000000000007</v>
      </c>
      <c r="M440" s="5" t="s">
        <v>781</v>
      </c>
      <c r="N440" s="63" t="s">
        <v>738</v>
      </c>
      <c r="P440" s="67">
        <f>$JI$622</f>
        <v>800.7</v>
      </c>
      <c r="Q440" s="5" t="s">
        <v>781</v>
      </c>
      <c r="R440" s="278" t="s">
        <v>15</v>
      </c>
      <c r="T440" s="67">
        <f>$HY$628</f>
        <v>487.20000000000005</v>
      </c>
      <c r="U440" s="5" t="s">
        <v>781</v>
      </c>
      <c r="V440" s="278" t="s">
        <v>3374</v>
      </c>
      <c r="X440" s="67">
        <f>$AHO$634</f>
        <v>485.4</v>
      </c>
      <c r="Y440" s="5" t="s">
        <v>781</v>
      </c>
      <c r="Z440" s="63" t="s">
        <v>796</v>
      </c>
      <c r="AB440" s="67">
        <f>$KJ$640</f>
        <v>307.10000000000002</v>
      </c>
      <c r="AC440" s="5" t="s">
        <v>781</v>
      </c>
      <c r="AD440" s="63" t="s">
        <v>755</v>
      </c>
      <c r="AF440" s="67">
        <f>$OW$646</f>
        <v>245.5</v>
      </c>
      <c r="AG440" s="5" t="s">
        <v>781</v>
      </c>
      <c r="AH440" s="63" t="s">
        <v>142</v>
      </c>
      <c r="AJ440" s="67">
        <f>$DU$652</f>
        <v>186.1</v>
      </c>
      <c r="AK440" s="5" t="s">
        <v>781</v>
      </c>
      <c r="AL440" s="63" t="s">
        <v>3405</v>
      </c>
      <c r="AN440" s="67">
        <f>$APW$658</f>
        <v>145.30000000000001</v>
      </c>
      <c r="AO440" s="5" t="s">
        <v>781</v>
      </c>
      <c r="AP440" s="63" t="s">
        <v>790</v>
      </c>
      <c r="AR440" s="67">
        <f>$IZ$664</f>
        <v>61.2</v>
      </c>
      <c r="AS440" s="5" t="s">
        <v>781</v>
      </c>
      <c r="AT440" s="63" t="s">
        <v>3381</v>
      </c>
      <c r="AV440" s="67">
        <f>$AJZ$670</f>
        <v>78.8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746</v>
      </c>
      <c r="D441" s="67">
        <f>$FW$604</f>
        <v>2414.3000000000002</v>
      </c>
      <c r="E441" s="5" t="s">
        <v>785</v>
      </c>
      <c r="F441" s="63" t="s">
        <v>3394</v>
      </c>
      <c r="H441" s="67">
        <f>$AOV$610</f>
        <v>1192.1999999999998</v>
      </c>
      <c r="I441" s="5" t="s">
        <v>785</v>
      </c>
      <c r="J441" s="63" t="s">
        <v>3405</v>
      </c>
      <c r="L441" s="67">
        <f>$APW$616</f>
        <v>941.3</v>
      </c>
      <c r="M441" s="5" t="s">
        <v>785</v>
      </c>
      <c r="N441" s="63" t="s">
        <v>162</v>
      </c>
      <c r="P441" s="67">
        <f>$IQ$622</f>
        <v>800.69999999999993</v>
      </c>
      <c r="Q441" s="5" t="s">
        <v>785</v>
      </c>
      <c r="R441" s="63" t="s">
        <v>3391</v>
      </c>
      <c r="T441" s="67">
        <f>$ANU$628</f>
        <v>478.7</v>
      </c>
      <c r="U441" s="5" t="s">
        <v>785</v>
      </c>
      <c r="V441" s="63" t="s">
        <v>3383</v>
      </c>
      <c r="X441" s="67">
        <f>$AKR$634</f>
        <v>485.20000000000005</v>
      </c>
      <c r="Y441" s="5" t="s">
        <v>785</v>
      </c>
      <c r="Z441" s="278" t="s">
        <v>31</v>
      </c>
      <c r="AB441" s="67">
        <f>$Z$640</f>
        <v>305.89999999999998</v>
      </c>
      <c r="AC441" s="5" t="s">
        <v>785</v>
      </c>
      <c r="AD441" s="63" t="s">
        <v>162</v>
      </c>
      <c r="AF441" s="67">
        <f>$IQ$646</f>
        <v>245.09999999999997</v>
      </c>
      <c r="AG441" s="5" t="s">
        <v>785</v>
      </c>
      <c r="AH441" s="63" t="s">
        <v>162</v>
      </c>
      <c r="AJ441" s="67">
        <f>$IQ$652</f>
        <v>181.8</v>
      </c>
      <c r="AK441" s="5" t="s">
        <v>785</v>
      </c>
      <c r="AL441" s="63" t="s">
        <v>33</v>
      </c>
      <c r="AN441" s="67">
        <f>$BA$658</f>
        <v>142.1</v>
      </c>
      <c r="AO441" s="5" t="s">
        <v>785</v>
      </c>
      <c r="AP441" s="219" t="s">
        <v>1653</v>
      </c>
      <c r="AR441" s="67">
        <f>$ML$664</f>
        <v>52.6</v>
      </c>
      <c r="AS441" s="5" t="s">
        <v>785</v>
      </c>
      <c r="AT441" s="63" t="s">
        <v>3394</v>
      </c>
      <c r="AV441" s="67">
        <f>$AOV$670</f>
        <v>78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3386</v>
      </c>
      <c r="D442" s="67">
        <f>$ALS$604</f>
        <v>2412.6</v>
      </c>
      <c r="E442" s="5" t="s">
        <v>786</v>
      </c>
      <c r="F442" s="278" t="s">
        <v>17</v>
      </c>
      <c r="H442" s="67">
        <f>$DL$610</f>
        <v>1190.1000000000001</v>
      </c>
      <c r="I442" s="5" t="s">
        <v>786</v>
      </c>
      <c r="J442" s="63" t="s">
        <v>3390</v>
      </c>
      <c r="L442" s="67">
        <f>$ANC$616</f>
        <v>938.69999999999993</v>
      </c>
      <c r="M442" s="5" t="s">
        <v>786</v>
      </c>
      <c r="N442" s="219" t="s">
        <v>1659</v>
      </c>
      <c r="P442" s="67">
        <f>$PF$622</f>
        <v>800.69999999999993</v>
      </c>
      <c r="Q442" s="5" t="s">
        <v>786</v>
      </c>
      <c r="R442" s="219" t="s">
        <v>1660</v>
      </c>
      <c r="T442" s="67">
        <f>$ND$628</f>
        <v>476.2</v>
      </c>
      <c r="U442" s="5" t="s">
        <v>786</v>
      </c>
      <c r="V442" s="63" t="s">
        <v>33</v>
      </c>
      <c r="X442" s="67">
        <f>$BA$634</f>
        <v>481.4</v>
      </c>
      <c r="Y442" s="5" t="s">
        <v>786</v>
      </c>
      <c r="Z442" s="278" t="s">
        <v>2007</v>
      </c>
      <c r="AB442" s="67">
        <f>$WM$640</f>
        <v>301.90000000000003</v>
      </c>
      <c r="AC442" s="5" t="s">
        <v>786</v>
      </c>
      <c r="AD442" s="278" t="s">
        <v>800</v>
      </c>
      <c r="AF442" s="67">
        <f>$AR$646</f>
        <v>245</v>
      </c>
      <c r="AG442" s="5" t="s">
        <v>786</v>
      </c>
      <c r="AH442" s="63" t="s">
        <v>25</v>
      </c>
      <c r="AJ442" s="67">
        <f>$BJ$652</f>
        <v>176.89999999999998</v>
      </c>
      <c r="AK442" s="5" t="s">
        <v>786</v>
      </c>
      <c r="AL442" s="63" t="s">
        <v>21</v>
      </c>
      <c r="AN442" s="67">
        <f>$H$658</f>
        <v>137.19999999999999</v>
      </c>
      <c r="AO442" s="5" t="s">
        <v>786</v>
      </c>
      <c r="AP442" s="63" t="s">
        <v>3384</v>
      </c>
      <c r="AR442" s="67">
        <f>$ALA$664</f>
        <v>49.8</v>
      </c>
      <c r="AS442" s="5" t="s">
        <v>786</v>
      </c>
      <c r="AT442" s="278" t="s">
        <v>783</v>
      </c>
      <c r="AV442" s="67">
        <f>$CK$670</f>
        <v>75.599999999999994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8" t="s">
        <v>11</v>
      </c>
      <c r="D443" s="67">
        <f>$CB$604</f>
        <v>2403.6000000000004</v>
      </c>
      <c r="E443" s="5" t="s">
        <v>787</v>
      </c>
      <c r="F443" s="63" t="s">
        <v>3381</v>
      </c>
      <c r="H443" s="67">
        <f>$AJZ$610</f>
        <v>1186.6999999999998</v>
      </c>
      <c r="I443" s="5" t="s">
        <v>787</v>
      </c>
      <c r="J443" s="63" t="s">
        <v>3407</v>
      </c>
      <c r="L443" s="67">
        <f>$ANL$616</f>
        <v>934.40000000000009</v>
      </c>
      <c r="M443" s="5" t="s">
        <v>787</v>
      </c>
      <c r="N443" s="63" t="s">
        <v>3406</v>
      </c>
      <c r="P443" s="67">
        <f>$AQF$622</f>
        <v>789.40000000000009</v>
      </c>
      <c r="Q443" s="5" t="s">
        <v>787</v>
      </c>
      <c r="R443" s="63" t="s">
        <v>141</v>
      </c>
      <c r="T443" s="67">
        <f>$GF$628</f>
        <v>470.5</v>
      </c>
      <c r="U443" s="5" t="s">
        <v>787</v>
      </c>
      <c r="V443" s="219" t="s">
        <v>1660</v>
      </c>
      <c r="X443" s="67">
        <f>$ND$634</f>
        <v>475.5</v>
      </c>
      <c r="Y443" s="5" t="s">
        <v>787</v>
      </c>
      <c r="Z443" s="63" t="s">
        <v>734</v>
      </c>
      <c r="AB443" s="67">
        <f>$LK$640</f>
        <v>294</v>
      </c>
      <c r="AC443" s="5" t="s">
        <v>787</v>
      </c>
      <c r="AD443" s="63" t="s">
        <v>753</v>
      </c>
      <c r="AF443" s="67">
        <f>$EM$646</f>
        <v>243.8</v>
      </c>
      <c r="AG443" s="5" t="s">
        <v>787</v>
      </c>
      <c r="AH443" s="219" t="s">
        <v>1647</v>
      </c>
      <c r="AJ443" s="67">
        <f>$FN$652</f>
        <v>174.9</v>
      </c>
      <c r="AK443" s="5" t="s">
        <v>787</v>
      </c>
      <c r="AL443" s="63" t="s">
        <v>733</v>
      </c>
      <c r="AN443" s="67">
        <f>$HG$658</f>
        <v>137.1</v>
      </c>
      <c r="AO443" s="5" t="s">
        <v>787</v>
      </c>
      <c r="AP443" s="63" t="s">
        <v>162</v>
      </c>
      <c r="AR443" s="67">
        <f>$IQ$664</f>
        <v>48.5</v>
      </c>
      <c r="AS443" s="5" t="s">
        <v>787</v>
      </c>
      <c r="AT443" s="63" t="s">
        <v>3375</v>
      </c>
      <c r="AV443" s="67">
        <f>$AHX$670</f>
        <v>75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3375</v>
      </c>
      <c r="D444" s="67">
        <f>$AHX$604</f>
        <v>2400.7000000000003</v>
      </c>
      <c r="E444" s="5" t="s">
        <v>793</v>
      </c>
      <c r="F444" s="278" t="s">
        <v>2014</v>
      </c>
      <c r="H444" s="67">
        <f>$VC$610</f>
        <v>1184.4000000000001</v>
      </c>
      <c r="I444" s="5" t="s">
        <v>793</v>
      </c>
      <c r="J444" s="278" t="s">
        <v>2161</v>
      </c>
      <c r="L444" s="67">
        <f>$XN$616</f>
        <v>933.2</v>
      </c>
      <c r="M444" s="5" t="s">
        <v>793</v>
      </c>
      <c r="N444" s="63" t="s">
        <v>733</v>
      </c>
      <c r="P444" s="67">
        <f>$HG$622</f>
        <v>789.09999999999991</v>
      </c>
      <c r="Q444" s="5" t="s">
        <v>793</v>
      </c>
      <c r="R444" s="63" t="s">
        <v>3381</v>
      </c>
      <c r="T444" s="67">
        <f>$AJZ$628</f>
        <v>465</v>
      </c>
      <c r="U444" s="5" t="s">
        <v>793</v>
      </c>
      <c r="V444" s="219" t="s">
        <v>1647</v>
      </c>
      <c r="X444" s="67">
        <f>$FN$634</f>
        <v>470.3</v>
      </c>
      <c r="Y444" s="5" t="s">
        <v>793</v>
      </c>
      <c r="Z444" s="278" t="s">
        <v>2028</v>
      </c>
      <c r="AB444" s="67">
        <f>$AAQ$640</f>
        <v>285.8</v>
      </c>
      <c r="AC444" s="5" t="s">
        <v>793</v>
      </c>
      <c r="AD444" s="63" t="s">
        <v>3389</v>
      </c>
      <c r="AF444" s="67">
        <f>$AMT$646</f>
        <v>242.1</v>
      </c>
      <c r="AG444" s="5" t="s">
        <v>793</v>
      </c>
      <c r="AH444" s="278" t="s">
        <v>2028</v>
      </c>
      <c r="AJ444" s="67">
        <f>$AAQ$652</f>
        <v>173.39999999999998</v>
      </c>
      <c r="AK444" s="5" t="s">
        <v>793</v>
      </c>
      <c r="AL444" s="219" t="s">
        <v>1657</v>
      </c>
      <c r="AN444" s="67">
        <f>$RH$658</f>
        <v>136.30000000000001</v>
      </c>
      <c r="AO444" s="5" t="s">
        <v>793</v>
      </c>
      <c r="AP444" s="278" t="s">
        <v>2057</v>
      </c>
      <c r="AR444" s="67">
        <f>$AAZ$664</f>
        <v>46.2</v>
      </c>
      <c r="AS444" s="5" t="s">
        <v>793</v>
      </c>
      <c r="AT444" s="63" t="s">
        <v>3391</v>
      </c>
      <c r="AV444" s="67">
        <f>$ANU$670</f>
        <v>70.2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278" t="s">
        <v>800</v>
      </c>
      <c r="D445" s="67">
        <f>$AR$604</f>
        <v>2383.1</v>
      </c>
      <c r="E445" s="5" t="s">
        <v>794</v>
      </c>
      <c r="F445" s="63" t="s">
        <v>33</v>
      </c>
      <c r="H445" s="67">
        <f>$BA$610</f>
        <v>1181</v>
      </c>
      <c r="I445" s="5" t="s">
        <v>794</v>
      </c>
      <c r="J445" s="219" t="s">
        <v>1653</v>
      </c>
      <c r="L445" s="67">
        <f>$ML$616</f>
        <v>932.4</v>
      </c>
      <c r="M445" s="5" t="s">
        <v>794</v>
      </c>
      <c r="N445" s="28" t="s">
        <v>155</v>
      </c>
      <c r="P445" s="67">
        <f>$BS$622</f>
        <v>786</v>
      </c>
      <c r="Q445" s="5" t="s">
        <v>794</v>
      </c>
      <c r="R445" s="278" t="s">
        <v>2057</v>
      </c>
      <c r="T445" s="67">
        <f>$AAZ$628</f>
        <v>448.2</v>
      </c>
      <c r="U445" s="5" t="s">
        <v>794</v>
      </c>
      <c r="V445" s="63" t="s">
        <v>3382</v>
      </c>
      <c r="X445" s="67">
        <f>$AKI$634</f>
        <v>470.09999999999997</v>
      </c>
      <c r="Y445" s="5" t="s">
        <v>794</v>
      </c>
      <c r="Z445" s="63" t="s">
        <v>3386</v>
      </c>
      <c r="AB445" s="67">
        <f>$ALS$640</f>
        <v>280</v>
      </c>
      <c r="AC445" s="5" t="s">
        <v>794</v>
      </c>
      <c r="AD445" s="63" t="s">
        <v>757</v>
      </c>
      <c r="AF445" s="67">
        <f>$LB$646</f>
        <v>238.5</v>
      </c>
      <c r="AG445" s="5" t="s">
        <v>794</v>
      </c>
      <c r="AH445" s="63" t="s">
        <v>757</v>
      </c>
      <c r="AJ445" s="67">
        <f>$LB$652</f>
        <v>173.3</v>
      </c>
      <c r="AK445" s="5" t="s">
        <v>794</v>
      </c>
      <c r="AL445" s="278" t="s">
        <v>2015</v>
      </c>
      <c r="AN445" s="67">
        <f>$VL$658</f>
        <v>133.80000000000001</v>
      </c>
      <c r="AO445" s="5" t="s">
        <v>794</v>
      </c>
      <c r="AP445" s="63" t="s">
        <v>733</v>
      </c>
      <c r="AR445" s="67">
        <f>$HG$664</f>
        <v>45.5</v>
      </c>
      <c r="AS445" s="5" t="s">
        <v>794</v>
      </c>
      <c r="AT445" s="63" t="s">
        <v>728</v>
      </c>
      <c r="AV445" s="67">
        <f>$TS$670</f>
        <v>64.900000000000006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78" t="s">
        <v>23</v>
      </c>
      <c r="D446" s="67">
        <f>$KS$604</f>
        <v>2374.1</v>
      </c>
      <c r="E446" s="5" t="s">
        <v>795</v>
      </c>
      <c r="F446" s="278" t="s">
        <v>2031</v>
      </c>
      <c r="H446" s="67">
        <f>$ZG$610</f>
        <v>1175.7</v>
      </c>
      <c r="I446" s="5" t="s">
        <v>795</v>
      </c>
      <c r="J446" s="63" t="s">
        <v>763</v>
      </c>
      <c r="L446" s="67">
        <f>$NM$616</f>
        <v>930.89999999999986</v>
      </c>
      <c r="M446" s="5" t="s">
        <v>795</v>
      </c>
      <c r="N446" s="63" t="s">
        <v>778</v>
      </c>
      <c r="P446" s="67">
        <f>$GX$622</f>
        <v>778.80000000000018</v>
      </c>
      <c r="Q446" s="5" t="s">
        <v>795</v>
      </c>
      <c r="R446" s="63" t="s">
        <v>3380</v>
      </c>
      <c r="T446" s="67">
        <f>$AJQ$628</f>
        <v>437.80000000000007</v>
      </c>
      <c r="U446" s="5" t="s">
        <v>795</v>
      </c>
      <c r="V446" s="63" t="s">
        <v>748</v>
      </c>
      <c r="X446" s="67">
        <f>$GO$634</f>
        <v>469.8</v>
      </c>
      <c r="Y446" s="5" t="s">
        <v>795</v>
      </c>
      <c r="Z446" s="63" t="s">
        <v>3382</v>
      </c>
      <c r="AB446" s="67">
        <f>$AKI$640</f>
        <v>273.79999999999995</v>
      </c>
      <c r="AC446" s="5" t="s">
        <v>795</v>
      </c>
      <c r="AD446" s="63" t="s">
        <v>25</v>
      </c>
      <c r="AF446" s="67">
        <f>$BJ$646</f>
        <v>238.40000000000003</v>
      </c>
      <c r="AG446" s="5" t="s">
        <v>795</v>
      </c>
      <c r="AH446" s="63" t="s">
        <v>3388</v>
      </c>
      <c r="AJ446" s="67">
        <f>$AMK$652</f>
        <v>167.8</v>
      </c>
      <c r="AK446" s="5" t="s">
        <v>795</v>
      </c>
      <c r="AL446" s="63" t="s">
        <v>141</v>
      </c>
      <c r="AN446" s="67">
        <f>$GF$658</f>
        <v>132.4</v>
      </c>
      <c r="AO446" s="5" t="s">
        <v>795</v>
      </c>
      <c r="AP446" s="63" t="s">
        <v>788</v>
      </c>
      <c r="AR446" s="67">
        <f>$OE$664</f>
        <v>40.199999999999996</v>
      </c>
      <c r="AS446" s="5" t="s">
        <v>795</v>
      </c>
      <c r="AT446" s="63" t="s">
        <v>733</v>
      </c>
      <c r="AV446" s="67">
        <f>$HG$670</f>
        <v>59.400000000000006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180</v>
      </c>
      <c r="D447" s="67">
        <f>$AOD$604</f>
        <v>2358.9</v>
      </c>
      <c r="E447" s="5" t="s">
        <v>797</v>
      </c>
      <c r="F447" s="63" t="s">
        <v>3379</v>
      </c>
      <c r="H447" s="67">
        <f>$AJH$610</f>
        <v>1172.9000000000001</v>
      </c>
      <c r="I447" s="5" t="s">
        <v>797</v>
      </c>
      <c r="J447" s="278" t="s">
        <v>2011</v>
      </c>
      <c r="L447" s="67">
        <f>$VU$616</f>
        <v>923.69999999999993</v>
      </c>
      <c r="M447" s="5" t="s">
        <v>797</v>
      </c>
      <c r="N447" s="278" t="s">
        <v>2015</v>
      </c>
      <c r="P447" s="67">
        <f>$VL$622</f>
        <v>773.5</v>
      </c>
      <c r="Q447" s="5" t="s">
        <v>797</v>
      </c>
      <c r="R447" s="278" t="s">
        <v>17</v>
      </c>
      <c r="T447" s="67">
        <f>$DL$628</f>
        <v>431.4</v>
      </c>
      <c r="U447" s="5" t="s">
        <v>797</v>
      </c>
      <c r="V447" s="219" t="s">
        <v>1662</v>
      </c>
      <c r="X447" s="67">
        <f>$HP$634</f>
        <v>468.9</v>
      </c>
      <c r="Y447" s="5" t="s">
        <v>797</v>
      </c>
      <c r="Z447" s="278" t="s">
        <v>11</v>
      </c>
      <c r="AB447" s="67">
        <f>$CB$640</f>
        <v>267.89999999999998</v>
      </c>
      <c r="AC447" s="5" t="s">
        <v>797</v>
      </c>
      <c r="AD447" s="219" t="s">
        <v>1656</v>
      </c>
      <c r="AF447" s="67">
        <f>$QP$646</f>
        <v>237.89999999999998</v>
      </c>
      <c r="AG447" s="5" t="s">
        <v>797</v>
      </c>
      <c r="AH447" s="278" t="s">
        <v>27</v>
      </c>
      <c r="AJ447" s="67">
        <f>$MC$652</f>
        <v>165</v>
      </c>
      <c r="AK447" s="5" t="s">
        <v>797</v>
      </c>
      <c r="AL447" s="63" t="s">
        <v>3383</v>
      </c>
      <c r="AN447" s="67">
        <f>$AKR$658</f>
        <v>128.70000000000002</v>
      </c>
      <c r="AO447" s="5" t="s">
        <v>797</v>
      </c>
      <c r="AP447" s="63" t="s">
        <v>764</v>
      </c>
      <c r="AR447" s="67">
        <f>$JR$664</f>
        <v>34.400000000000006</v>
      </c>
      <c r="AS447" s="5" t="s">
        <v>797</v>
      </c>
      <c r="AT447" s="63" t="s">
        <v>738</v>
      </c>
      <c r="AV447" s="67">
        <f>$JI$670</f>
        <v>57.2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3393</v>
      </c>
      <c r="D448" s="67">
        <f>$AOM$604</f>
        <v>2328.8000000000002</v>
      </c>
      <c r="E448" s="5" t="s">
        <v>798</v>
      </c>
      <c r="F448" s="63" t="s">
        <v>3386</v>
      </c>
      <c r="H448" s="67">
        <f>$ALS$610</f>
        <v>1170.5</v>
      </c>
      <c r="I448" s="5" t="s">
        <v>798</v>
      </c>
      <c r="J448" s="278" t="s">
        <v>2014</v>
      </c>
      <c r="L448" s="67">
        <f>$VC$616</f>
        <v>922.2</v>
      </c>
      <c r="M448" s="5" t="s">
        <v>798</v>
      </c>
      <c r="N448" s="63" t="s">
        <v>796</v>
      </c>
      <c r="P448" s="67">
        <f>$KJ$622</f>
        <v>771.1</v>
      </c>
      <c r="Q448" s="5" t="s">
        <v>798</v>
      </c>
      <c r="R448" s="278" t="s">
        <v>9</v>
      </c>
      <c r="T448" s="67">
        <f>$LT$628</f>
        <v>422.90000000000003</v>
      </c>
      <c r="U448" s="5" t="s">
        <v>798</v>
      </c>
      <c r="V448" s="63" t="s">
        <v>25</v>
      </c>
      <c r="X448" s="67">
        <f>$BJ$634</f>
        <v>457.1</v>
      </c>
      <c r="Y448" s="5" t="s">
        <v>798</v>
      </c>
      <c r="Z448" s="63" t="s">
        <v>3387</v>
      </c>
      <c r="AB448" s="67">
        <f>$AMB$640</f>
        <v>260.99999999999994</v>
      </c>
      <c r="AC448" s="5" t="s">
        <v>798</v>
      </c>
      <c r="AD448" s="278" t="s">
        <v>23</v>
      </c>
      <c r="AF448" s="67">
        <f>$KS$646</f>
        <v>237.2</v>
      </c>
      <c r="AG448" s="5" t="s">
        <v>798</v>
      </c>
      <c r="AH448" s="63" t="s">
        <v>3405</v>
      </c>
      <c r="AJ448" s="67">
        <f>$APW$652</f>
        <v>160</v>
      </c>
      <c r="AK448" s="5" t="s">
        <v>798</v>
      </c>
      <c r="AL448" s="278" t="s">
        <v>779</v>
      </c>
      <c r="AN448" s="67">
        <f>$AI$658</f>
        <v>125.8</v>
      </c>
      <c r="AO448" s="5" t="s">
        <v>798</v>
      </c>
      <c r="AP448" s="278" t="s">
        <v>2056</v>
      </c>
      <c r="AR448" s="67">
        <f>$ABR$664</f>
        <v>33.299999999999997</v>
      </c>
      <c r="AS448" s="5" t="s">
        <v>798</v>
      </c>
      <c r="AT448" s="63" t="s">
        <v>162</v>
      </c>
      <c r="AV448" s="67">
        <f>$IQ$670</f>
        <v>51.3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3402</v>
      </c>
      <c r="D449" s="67">
        <f>$APE$604</f>
        <v>2328.8000000000002</v>
      </c>
      <c r="E449" s="5" t="s">
        <v>799</v>
      </c>
      <c r="F449" s="63" t="s">
        <v>782</v>
      </c>
      <c r="H449" s="67">
        <f>$QG$610</f>
        <v>1157.3000000000002</v>
      </c>
      <c r="I449" s="5" t="s">
        <v>799</v>
      </c>
      <c r="J449" s="63" t="s">
        <v>3393</v>
      </c>
      <c r="L449" s="67">
        <f>$AOM$616</f>
        <v>919</v>
      </c>
      <c r="M449" s="5" t="s">
        <v>799</v>
      </c>
      <c r="N449" s="278" t="s">
        <v>2030</v>
      </c>
      <c r="P449" s="67">
        <f>$ACA$622</f>
        <v>765.8</v>
      </c>
      <c r="Q449" s="5" t="s">
        <v>799</v>
      </c>
      <c r="R449" s="278" t="s">
        <v>2006</v>
      </c>
      <c r="T449" s="67">
        <f>$TJ$628</f>
        <v>422.70000000000005</v>
      </c>
      <c r="U449" s="5" t="s">
        <v>799</v>
      </c>
      <c r="V449" s="28" t="s">
        <v>155</v>
      </c>
      <c r="X449" s="67">
        <f>$BS$634</f>
        <v>455</v>
      </c>
      <c r="Y449" s="5" t="s">
        <v>799</v>
      </c>
      <c r="Z449" s="278" t="s">
        <v>2006</v>
      </c>
      <c r="AB449" s="67">
        <f>$TJ$640</f>
        <v>256.5</v>
      </c>
      <c r="AC449" s="5" t="s">
        <v>799</v>
      </c>
      <c r="AD449" s="219" t="s">
        <v>1643</v>
      </c>
      <c r="AF449" s="67">
        <f>$UB$646</f>
        <v>235.99999999999997</v>
      </c>
      <c r="AG449" s="5" t="s">
        <v>799</v>
      </c>
      <c r="AH449" s="278" t="s">
        <v>15</v>
      </c>
      <c r="AJ449" s="67">
        <f>$HY$652</f>
        <v>159.29999999999998</v>
      </c>
      <c r="AK449" s="5" t="s">
        <v>799</v>
      </c>
      <c r="AL449" s="63" t="s">
        <v>3389</v>
      </c>
      <c r="AN449" s="67">
        <f>$AMT$658</f>
        <v>125.2</v>
      </c>
      <c r="AO449" s="5" t="s">
        <v>799</v>
      </c>
      <c r="AP449" s="63" t="s">
        <v>755</v>
      </c>
      <c r="AR449" s="67">
        <f>$OW$664</f>
        <v>33</v>
      </c>
      <c r="AS449" s="5" t="s">
        <v>799</v>
      </c>
      <c r="AT449" s="278" t="s">
        <v>2034</v>
      </c>
      <c r="AV449" s="67">
        <f>$ZY$670</f>
        <v>50.5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21</v>
      </c>
      <c r="D450" s="67">
        <f>$H$604</f>
        <v>2328.8000000000002</v>
      </c>
      <c r="E450" s="5" t="s">
        <v>802</v>
      </c>
      <c r="F450" s="28" t="s">
        <v>155</v>
      </c>
      <c r="H450" s="67">
        <f>$BS$610</f>
        <v>1154.8000000000002</v>
      </c>
      <c r="I450" s="5" t="s">
        <v>802</v>
      </c>
      <c r="J450" s="63" t="s">
        <v>3377</v>
      </c>
      <c r="L450" s="67">
        <f>$AIP$616</f>
        <v>912.19999999999993</v>
      </c>
      <c r="M450" s="5" t="s">
        <v>802</v>
      </c>
      <c r="N450" s="63" t="s">
        <v>3386</v>
      </c>
      <c r="P450" s="67">
        <f>$ALS$622</f>
        <v>763.39999999999986</v>
      </c>
      <c r="Q450" s="5" t="s">
        <v>802</v>
      </c>
      <c r="R450" s="278" t="s">
        <v>23</v>
      </c>
      <c r="T450" s="67">
        <f>$KS$628</f>
        <v>420.1</v>
      </c>
      <c r="U450" s="5" t="s">
        <v>802</v>
      </c>
      <c r="V450" s="278" t="s">
        <v>2031</v>
      </c>
      <c r="X450" s="67">
        <f>$ZG$634</f>
        <v>444</v>
      </c>
      <c r="Y450" s="5" t="s">
        <v>802</v>
      </c>
      <c r="Z450" s="278" t="s">
        <v>4520</v>
      </c>
      <c r="AB450" s="67">
        <f>$XW$640</f>
        <v>256.39999999999998</v>
      </c>
      <c r="AC450" s="5" t="s">
        <v>802</v>
      </c>
      <c r="AD450" s="63" t="s">
        <v>21</v>
      </c>
      <c r="AF450" s="67">
        <f>$H$646</f>
        <v>229.8</v>
      </c>
      <c r="AG450" s="5" t="s">
        <v>802</v>
      </c>
      <c r="AH450" s="278" t="s">
        <v>2022</v>
      </c>
      <c r="AJ450" s="67">
        <f>$SR$652</f>
        <v>152.5</v>
      </c>
      <c r="AK450" s="5" t="s">
        <v>802</v>
      </c>
      <c r="AL450" s="219" t="s">
        <v>1643</v>
      </c>
      <c r="AN450" s="67">
        <f>$UB$658</f>
        <v>122.3</v>
      </c>
      <c r="AO450" s="5" t="s">
        <v>802</v>
      </c>
      <c r="AP450" s="63" t="s">
        <v>3403</v>
      </c>
      <c r="AR450" s="67">
        <f>$APN$664</f>
        <v>30.1</v>
      </c>
      <c r="AS450" s="5" t="s">
        <v>802</v>
      </c>
      <c r="AT450" s="63" t="s">
        <v>3384</v>
      </c>
      <c r="AV450" s="67">
        <f>$ALA$670</f>
        <v>49.5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141</v>
      </c>
      <c r="D451" s="67">
        <f>$GF$604</f>
        <v>2328.8000000000002</v>
      </c>
      <c r="E451" s="5" t="s">
        <v>896</v>
      </c>
      <c r="F451" s="278" t="s">
        <v>783</v>
      </c>
      <c r="H451" s="67">
        <f>$CK$610</f>
        <v>1147.0999999999999</v>
      </c>
      <c r="I451" s="5" t="s">
        <v>896</v>
      </c>
      <c r="J451" s="278" t="s">
        <v>2006</v>
      </c>
      <c r="L451" s="67">
        <f>$TJ$616</f>
        <v>909.69999999999993</v>
      </c>
      <c r="M451" s="5" t="s">
        <v>896</v>
      </c>
      <c r="N451" s="278" t="s">
        <v>2029</v>
      </c>
      <c r="P451" s="67">
        <f>$ZP$622</f>
        <v>762.5</v>
      </c>
      <c r="Q451" s="5" t="s">
        <v>896</v>
      </c>
      <c r="R451" s="63" t="s">
        <v>3383</v>
      </c>
      <c r="T451" s="67">
        <f>$AKR$628</f>
        <v>419.6</v>
      </c>
      <c r="U451" s="5" t="s">
        <v>896</v>
      </c>
      <c r="V451" s="63" t="s">
        <v>763</v>
      </c>
      <c r="X451" s="67">
        <f>$NM$634</f>
        <v>424.8</v>
      </c>
      <c r="Y451" s="5" t="s">
        <v>896</v>
      </c>
      <c r="Z451" s="63" t="s">
        <v>33</v>
      </c>
      <c r="AB451" s="67">
        <f>$BA$640</f>
        <v>254</v>
      </c>
      <c r="AC451" s="5" t="s">
        <v>896</v>
      </c>
      <c r="AD451" s="219" t="s">
        <v>1647</v>
      </c>
      <c r="AF451" s="67">
        <f>$FN$646</f>
        <v>228.3</v>
      </c>
      <c r="AG451" s="5" t="s">
        <v>896</v>
      </c>
      <c r="AH451" s="63" t="s">
        <v>33</v>
      </c>
      <c r="AJ451" s="67">
        <f>$BA$652</f>
        <v>151.5</v>
      </c>
      <c r="AK451" s="5" t="s">
        <v>896</v>
      </c>
      <c r="AL451" s="63" t="s">
        <v>757</v>
      </c>
      <c r="AN451" s="67">
        <f>$LB$658</f>
        <v>121.29999999999998</v>
      </c>
      <c r="AO451" s="5" t="s">
        <v>896</v>
      </c>
      <c r="AP451" s="63" t="s">
        <v>153</v>
      </c>
      <c r="AR451" s="67">
        <f>$KA$664</f>
        <v>29.7</v>
      </c>
      <c r="AS451" s="5" t="s">
        <v>896</v>
      </c>
      <c r="AT451" s="63" t="s">
        <v>763</v>
      </c>
      <c r="AV451" s="67">
        <f>$NM$670</f>
        <v>44.1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749</v>
      </c>
      <c r="D452" s="67">
        <f>$EV$604</f>
        <v>2312.6999999999998</v>
      </c>
      <c r="E452" s="5" t="s">
        <v>897</v>
      </c>
      <c r="F452" s="278" t="s">
        <v>9</v>
      </c>
      <c r="H452" s="67">
        <f>$LT$610</f>
        <v>1135.3000000000002</v>
      </c>
      <c r="I452" s="5" t="s">
        <v>897</v>
      </c>
      <c r="J452" s="63" t="s">
        <v>3381</v>
      </c>
      <c r="L452" s="67">
        <f>$AJZ$616</f>
        <v>908.5</v>
      </c>
      <c r="M452" s="5" t="s">
        <v>897</v>
      </c>
      <c r="N452" s="278" t="s">
        <v>2027</v>
      </c>
      <c r="P452" s="67">
        <f>$YF$622</f>
        <v>753.50000000000011</v>
      </c>
      <c r="Q452" s="5" t="s">
        <v>897</v>
      </c>
      <c r="R452" s="63" t="s">
        <v>25</v>
      </c>
      <c r="T452" s="67">
        <f>$BJ$628</f>
        <v>418.5</v>
      </c>
      <c r="U452" s="5" t="s">
        <v>897</v>
      </c>
      <c r="V452" s="63" t="s">
        <v>3385</v>
      </c>
      <c r="X452" s="67">
        <f>$ALJ$634</f>
        <v>419.8</v>
      </c>
      <c r="Y452" s="5" t="s">
        <v>897</v>
      </c>
      <c r="Z452" s="63" t="s">
        <v>790</v>
      </c>
      <c r="AB452" s="67">
        <f>$IZ$640</f>
        <v>253.5</v>
      </c>
      <c r="AC452" s="5" t="s">
        <v>897</v>
      </c>
      <c r="AD452" s="219" t="s">
        <v>1654</v>
      </c>
      <c r="AF452" s="67">
        <f>$QY$646</f>
        <v>222.6</v>
      </c>
      <c r="AG452" s="5" t="s">
        <v>897</v>
      </c>
      <c r="AH452" s="63" t="s">
        <v>3387</v>
      </c>
      <c r="AJ452" s="67">
        <f>$AMB$652</f>
        <v>139.89999999999998</v>
      </c>
      <c r="AK452" s="5" t="s">
        <v>897</v>
      </c>
      <c r="AL452" s="219" t="s">
        <v>1652</v>
      </c>
      <c r="AN452" s="67">
        <f>$ON$658</f>
        <v>112.60000000000001</v>
      </c>
      <c r="AO452" s="5" t="s">
        <v>897</v>
      </c>
      <c r="AP452" s="278" t="s">
        <v>2015</v>
      </c>
      <c r="AR452" s="67">
        <f>$VL$664</f>
        <v>26.9</v>
      </c>
      <c r="AS452" s="5" t="s">
        <v>897</v>
      </c>
      <c r="AT452" s="63" t="s">
        <v>796</v>
      </c>
      <c r="AV452" s="67">
        <f>$KJ$670</f>
        <v>42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3377</v>
      </c>
      <c r="D453" s="67">
        <f>$AIP$604</f>
        <v>2311.25</v>
      </c>
      <c r="E453" s="5" t="s">
        <v>898</v>
      </c>
      <c r="F453" s="63" t="s">
        <v>749</v>
      </c>
      <c r="H453" s="67">
        <f>$EV$610</f>
        <v>1132.9000000000001</v>
      </c>
      <c r="I453" s="5" t="s">
        <v>898</v>
      </c>
      <c r="J453" s="219" t="s">
        <v>1659</v>
      </c>
      <c r="L453" s="67">
        <f>$PF$616</f>
        <v>900.3</v>
      </c>
      <c r="M453" s="5" t="s">
        <v>898</v>
      </c>
      <c r="N453" s="278" t="s">
        <v>2028</v>
      </c>
      <c r="P453" s="67">
        <f>$AAQ$622</f>
        <v>753.30000000000007</v>
      </c>
      <c r="Q453" s="5" t="s">
        <v>898</v>
      </c>
      <c r="R453" s="63" t="s">
        <v>738</v>
      </c>
      <c r="T453" s="67">
        <f>$JI$628</f>
        <v>417.20000000000005</v>
      </c>
      <c r="U453" s="5" t="s">
        <v>898</v>
      </c>
      <c r="V453" s="63" t="s">
        <v>738</v>
      </c>
      <c r="X453" s="67">
        <f>$JI$634</f>
        <v>410.1</v>
      </c>
      <c r="Y453" s="5" t="s">
        <v>898</v>
      </c>
      <c r="Z453" s="63" t="s">
        <v>3381</v>
      </c>
      <c r="AB453" s="67">
        <f>$AJZ$640</f>
        <v>248.2</v>
      </c>
      <c r="AC453" s="5" t="s">
        <v>898</v>
      </c>
      <c r="AD453" s="63" t="s">
        <v>142</v>
      </c>
      <c r="AF453" s="67">
        <f>$DU$646</f>
        <v>218.59999999999997</v>
      </c>
      <c r="AG453" s="5" t="s">
        <v>898</v>
      </c>
      <c r="AH453" s="219" t="s">
        <v>1643</v>
      </c>
      <c r="AJ453" s="67">
        <f>$UB$652</f>
        <v>133.4</v>
      </c>
      <c r="AK453" s="5" t="s">
        <v>898</v>
      </c>
      <c r="AL453" s="219" t="s">
        <v>1655</v>
      </c>
      <c r="AN453" s="67">
        <f>$PO$658</f>
        <v>105.10000000000001</v>
      </c>
      <c r="AO453" s="5" t="s">
        <v>898</v>
      </c>
      <c r="AP453" s="219" t="s">
        <v>1654</v>
      </c>
      <c r="AR453" s="67">
        <f>$QY$664</f>
        <v>26.3</v>
      </c>
      <c r="AS453" s="5" t="s">
        <v>898</v>
      </c>
      <c r="AT453" s="278" t="s">
        <v>2015</v>
      </c>
      <c r="AV453" s="67">
        <f>$VL$670</f>
        <v>40.200000000000003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278" t="s">
        <v>2034</v>
      </c>
      <c r="D454" s="67">
        <f>$ZY$604</f>
        <v>2304.5</v>
      </c>
      <c r="E454" s="5" t="s">
        <v>899</v>
      </c>
      <c r="F454" s="278" t="s">
        <v>2057</v>
      </c>
      <c r="H454" s="67">
        <f>$AAZ$610</f>
        <v>1123.3</v>
      </c>
      <c r="I454" s="5" t="s">
        <v>899</v>
      </c>
      <c r="J454" s="63" t="s">
        <v>778</v>
      </c>
      <c r="L454" s="67">
        <f>$GX$616</f>
        <v>891.3</v>
      </c>
      <c r="M454" s="5" t="s">
        <v>899</v>
      </c>
      <c r="N454" s="63" t="s">
        <v>33</v>
      </c>
      <c r="P454" s="67">
        <f>$BA$622</f>
        <v>752</v>
      </c>
      <c r="Q454" s="5" t="s">
        <v>899</v>
      </c>
      <c r="R454" s="278" t="s">
        <v>2028</v>
      </c>
      <c r="T454" s="67">
        <f>$AAQ$628</f>
        <v>413.5</v>
      </c>
      <c r="U454" s="5" t="s">
        <v>899</v>
      </c>
      <c r="V454" s="63" t="s">
        <v>142</v>
      </c>
      <c r="X454" s="67">
        <f>$DU$634</f>
        <v>409.9</v>
      </c>
      <c r="Y454" s="5" t="s">
        <v>899</v>
      </c>
      <c r="Z454" s="63" t="s">
        <v>153</v>
      </c>
      <c r="AB454" s="67">
        <f>$KA$640</f>
        <v>247.59999999999997</v>
      </c>
      <c r="AC454" s="5" t="s">
        <v>899</v>
      </c>
      <c r="AD454" s="278" t="s">
        <v>2014</v>
      </c>
      <c r="AF454" s="67">
        <f>$VC$646</f>
        <v>215</v>
      </c>
      <c r="AG454" s="5" t="s">
        <v>899</v>
      </c>
      <c r="AH454" s="63" t="s">
        <v>3393</v>
      </c>
      <c r="AJ454" s="67">
        <f>$AOM$652</f>
        <v>130.69999999999999</v>
      </c>
      <c r="AK454" s="5" t="s">
        <v>899</v>
      </c>
      <c r="AL454" s="63" t="s">
        <v>3393</v>
      </c>
      <c r="AN454" s="67">
        <f>$AOM$658</f>
        <v>102</v>
      </c>
      <c r="AO454" s="5" t="s">
        <v>899</v>
      </c>
      <c r="AP454" s="63" t="s">
        <v>763</v>
      </c>
      <c r="AR454" s="67">
        <f>$NM$664</f>
        <v>25.5</v>
      </c>
      <c r="AS454" s="5" t="s">
        <v>899</v>
      </c>
      <c r="AT454" s="63" t="s">
        <v>33</v>
      </c>
      <c r="AV454" s="67">
        <f>$BA$670</f>
        <v>39.199999999999996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78" t="s">
        <v>2014</v>
      </c>
      <c r="D455" s="67">
        <f>$VC$604</f>
        <v>2301.8000000000002</v>
      </c>
      <c r="E455" s="5" t="s">
        <v>900</v>
      </c>
      <c r="F455" s="63" t="s">
        <v>21</v>
      </c>
      <c r="H455" s="67">
        <f>$H$610</f>
        <v>1121.1000000000001</v>
      </c>
      <c r="I455" s="5" t="s">
        <v>900</v>
      </c>
      <c r="J455" s="278" t="s">
        <v>3373</v>
      </c>
      <c r="L455" s="67">
        <f>$AHF$616</f>
        <v>883.40000000000009</v>
      </c>
      <c r="M455" s="5" t="s">
        <v>900</v>
      </c>
      <c r="N455" s="278" t="s">
        <v>17</v>
      </c>
      <c r="P455" s="67">
        <f>$DL$622</f>
        <v>751.1</v>
      </c>
      <c r="Q455" s="5" t="s">
        <v>900</v>
      </c>
      <c r="R455" s="219" t="s">
        <v>1644</v>
      </c>
      <c r="T455" s="67">
        <f>$UT$628</f>
        <v>412.19999999999993</v>
      </c>
      <c r="U455" s="5" t="s">
        <v>900</v>
      </c>
      <c r="V455" s="278" t="s">
        <v>2022</v>
      </c>
      <c r="X455" s="67">
        <f>$SR$634</f>
        <v>409.20000000000005</v>
      </c>
      <c r="Y455" s="5" t="s">
        <v>900</v>
      </c>
      <c r="Z455" s="278" t="s">
        <v>2011</v>
      </c>
      <c r="AB455" s="67">
        <f>$VU$640</f>
        <v>245.40000000000003</v>
      </c>
      <c r="AC455" s="5" t="s">
        <v>900</v>
      </c>
      <c r="AD455" s="63" t="s">
        <v>3390</v>
      </c>
      <c r="AF455" s="67">
        <f>$ANC$646</f>
        <v>204.9</v>
      </c>
      <c r="AG455" s="5" t="s">
        <v>900</v>
      </c>
      <c r="AH455" s="63" t="s">
        <v>763</v>
      </c>
      <c r="AJ455" s="67">
        <f>$NM$652</f>
        <v>130.1</v>
      </c>
      <c r="AK455" s="5" t="s">
        <v>900</v>
      </c>
      <c r="AL455" s="278" t="s">
        <v>3373</v>
      </c>
      <c r="AN455" s="67">
        <f>$AHF$658</f>
        <v>100.7</v>
      </c>
      <c r="AO455" s="5" t="s">
        <v>900</v>
      </c>
      <c r="AP455" s="278" t="s">
        <v>2011</v>
      </c>
      <c r="AR455" s="67">
        <f>$VU$664</f>
        <v>24.1</v>
      </c>
      <c r="AS455" s="5" t="s">
        <v>900</v>
      </c>
      <c r="AT455" s="278" t="s">
        <v>2161</v>
      </c>
      <c r="AV455" s="67">
        <f>$XN$670</f>
        <v>38.900000000000006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25</v>
      </c>
      <c r="D456" s="67">
        <f>$BJ$604</f>
        <v>2297.1</v>
      </c>
      <c r="E456" s="5" t="s">
        <v>901</v>
      </c>
      <c r="F456" s="63" t="s">
        <v>3390</v>
      </c>
      <c r="H456" s="67">
        <f>$ANC$610</f>
        <v>1108.1000000000001</v>
      </c>
      <c r="I456" s="5" t="s">
        <v>901</v>
      </c>
      <c r="J456" s="63" t="s">
        <v>25</v>
      </c>
      <c r="L456" s="67">
        <f>$BJ$616</f>
        <v>879.40000000000009</v>
      </c>
      <c r="M456" s="5" t="s">
        <v>901</v>
      </c>
      <c r="N456" s="63" t="s">
        <v>763</v>
      </c>
      <c r="P456" s="67">
        <f>$NM$622</f>
        <v>749.4</v>
      </c>
      <c r="Q456" s="5" t="s">
        <v>901</v>
      </c>
      <c r="R456" s="219" t="s">
        <v>1647</v>
      </c>
      <c r="T456" s="67">
        <f>$FN$628</f>
        <v>411.9</v>
      </c>
      <c r="U456" s="5" t="s">
        <v>901</v>
      </c>
      <c r="V456" s="63" t="s">
        <v>3375</v>
      </c>
      <c r="X456" s="67">
        <f>$AHX$634</f>
        <v>408.79999999999995</v>
      </c>
      <c r="Y456" s="5" t="s">
        <v>901</v>
      </c>
      <c r="Z456" s="278" t="s">
        <v>17</v>
      </c>
      <c r="AB456" s="67">
        <f>$DL$640</f>
        <v>245.1</v>
      </c>
      <c r="AC456" s="5" t="s">
        <v>901</v>
      </c>
      <c r="AD456" s="63" t="s">
        <v>3378</v>
      </c>
      <c r="AF456" s="67">
        <f>$AIY$646</f>
        <v>204.3</v>
      </c>
      <c r="AG456" s="5" t="s">
        <v>901</v>
      </c>
      <c r="AH456" s="63" t="s">
        <v>3380</v>
      </c>
      <c r="AJ456" s="67">
        <f>$AJQ$652</f>
        <v>127.10000000000001</v>
      </c>
      <c r="AK456" s="5" t="s">
        <v>901</v>
      </c>
      <c r="AL456" s="278" t="s">
        <v>1</v>
      </c>
      <c r="AN456" s="67">
        <f>$TA$658</f>
        <v>99.7</v>
      </c>
      <c r="AO456" s="5" t="s">
        <v>901</v>
      </c>
      <c r="AP456" s="278" t="s">
        <v>2030</v>
      </c>
      <c r="AR456" s="67">
        <f>$ACA$664</f>
        <v>24</v>
      </c>
      <c r="AS456" s="5" t="s">
        <v>901</v>
      </c>
      <c r="AT456" s="278" t="s">
        <v>1</v>
      </c>
      <c r="AV456" s="67">
        <f>$TA$670</f>
        <v>38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15</v>
      </c>
      <c r="D457" s="67">
        <f>$HY$604</f>
        <v>2289.7999999999997</v>
      </c>
      <c r="E457" s="5" t="s">
        <v>902</v>
      </c>
      <c r="F457" s="219" t="s">
        <v>1655</v>
      </c>
      <c r="H457" s="67">
        <f>$PO$610</f>
        <v>1103.8000000000002</v>
      </c>
      <c r="I457" s="5" t="s">
        <v>902</v>
      </c>
      <c r="J457" s="278" t="s">
        <v>9</v>
      </c>
      <c r="L457" s="67">
        <f>$LT$616</f>
        <v>867.9</v>
      </c>
      <c r="M457" s="5" t="s">
        <v>902</v>
      </c>
      <c r="N457" s="278" t="s">
        <v>779</v>
      </c>
      <c r="P457" s="67">
        <f>$AI$622</f>
        <v>745.2</v>
      </c>
      <c r="Q457" s="5" t="s">
        <v>902</v>
      </c>
      <c r="R457" s="63" t="s">
        <v>3403</v>
      </c>
      <c r="T457" s="67">
        <f>$APN$628</f>
        <v>410.79999999999995</v>
      </c>
      <c r="U457" s="5" t="s">
        <v>902</v>
      </c>
      <c r="V457" s="63" t="s">
        <v>3405</v>
      </c>
      <c r="X457" s="67">
        <f>$APW$634</f>
        <v>407.6</v>
      </c>
      <c r="Y457" s="5" t="s">
        <v>902</v>
      </c>
      <c r="Z457" s="278" t="s">
        <v>27</v>
      </c>
      <c r="AB457" s="67">
        <f>$MC$640</f>
        <v>244.70000000000002</v>
      </c>
      <c r="AC457" s="5" t="s">
        <v>902</v>
      </c>
      <c r="AD457" s="63" t="s">
        <v>3403</v>
      </c>
      <c r="AF457" s="67">
        <f>$APN$646</f>
        <v>201.20000000000002</v>
      </c>
      <c r="AG457" s="5" t="s">
        <v>902</v>
      </c>
      <c r="AH457" s="63" t="s">
        <v>3385</v>
      </c>
      <c r="AJ457" s="67">
        <f>$ALJ$652</f>
        <v>121.60000000000001</v>
      </c>
      <c r="AK457" s="5" t="s">
        <v>902</v>
      </c>
      <c r="AL457" s="63" t="s">
        <v>762</v>
      </c>
      <c r="AN457" s="67">
        <f>$FE$658</f>
        <v>99.6</v>
      </c>
      <c r="AO457" s="5" t="s">
        <v>902</v>
      </c>
      <c r="AP457" s="278" t="s">
        <v>2034</v>
      </c>
      <c r="AR457" s="67">
        <f>$ZY$664</f>
        <v>22.3</v>
      </c>
      <c r="AS457" s="5" t="s">
        <v>902</v>
      </c>
      <c r="AT457" s="278" t="s">
        <v>2012</v>
      </c>
      <c r="AV457" s="67">
        <f>$RZ$670</f>
        <v>34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3406</v>
      </c>
      <c r="D458" s="67">
        <f>$AQF$604</f>
        <v>2281.25</v>
      </c>
      <c r="E458" s="5" t="s">
        <v>903</v>
      </c>
      <c r="F458" s="63" t="s">
        <v>778</v>
      </c>
      <c r="H458" s="67">
        <f>$GX$610</f>
        <v>1092</v>
      </c>
      <c r="I458" s="5" t="s">
        <v>903</v>
      </c>
      <c r="J458" s="278" t="s">
        <v>2012</v>
      </c>
      <c r="L458" s="67">
        <f>$RZ$616</f>
        <v>866.5</v>
      </c>
      <c r="M458" s="5" t="s">
        <v>903</v>
      </c>
      <c r="N458" s="278" t="s">
        <v>4520</v>
      </c>
      <c r="P458" s="67">
        <f>$XW$622</f>
        <v>731.90000000000009</v>
      </c>
      <c r="Q458" s="5" t="s">
        <v>903</v>
      </c>
      <c r="R458" s="63" t="s">
        <v>3379</v>
      </c>
      <c r="T458" s="67">
        <f>$AJH$628</f>
        <v>401.7</v>
      </c>
      <c r="U458" s="5" t="s">
        <v>903</v>
      </c>
      <c r="V458" s="63" t="s">
        <v>3393</v>
      </c>
      <c r="X458" s="67">
        <f>$AOM$634</f>
        <v>403.1</v>
      </c>
      <c r="Y458" s="5" t="s">
        <v>903</v>
      </c>
      <c r="Z458" s="278" t="s">
        <v>2057</v>
      </c>
      <c r="AB458" s="67">
        <f>$AAZ$640</f>
        <v>243.05</v>
      </c>
      <c r="AC458" s="5" t="s">
        <v>903</v>
      </c>
      <c r="AD458" s="63" t="s">
        <v>3388</v>
      </c>
      <c r="AF458" s="67">
        <f>$AMK$646</f>
        <v>196.5</v>
      </c>
      <c r="AG458" s="5" t="s">
        <v>903</v>
      </c>
      <c r="AH458" s="63" t="s">
        <v>3403</v>
      </c>
      <c r="AJ458" s="67">
        <f>$APN$652</f>
        <v>121</v>
      </c>
      <c r="AK458" s="5" t="s">
        <v>903</v>
      </c>
      <c r="AL458" s="63" t="s">
        <v>778</v>
      </c>
      <c r="AN458" s="67">
        <f>$GX$658</f>
        <v>96.6</v>
      </c>
      <c r="AO458" s="5" t="s">
        <v>903</v>
      </c>
      <c r="AP458" s="219" t="s">
        <v>1652</v>
      </c>
      <c r="AR458" s="67">
        <f>$ON$664</f>
        <v>18.099999999999998</v>
      </c>
      <c r="AS458" s="5" t="s">
        <v>903</v>
      </c>
      <c r="AT458" s="278" t="s">
        <v>2028</v>
      </c>
      <c r="AV458" s="67">
        <f>$AAQ$670</f>
        <v>32.200000000000003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790</v>
      </c>
      <c r="D459" s="67">
        <f>$IZ$604</f>
        <v>2272.8000000000002</v>
      </c>
      <c r="E459" s="5" t="s">
        <v>904</v>
      </c>
      <c r="F459" s="63" t="s">
        <v>733</v>
      </c>
      <c r="H459" s="67">
        <f>$HG$610</f>
        <v>1062.5999999999999</v>
      </c>
      <c r="I459" s="5" t="s">
        <v>904</v>
      </c>
      <c r="J459" s="278" t="s">
        <v>2007</v>
      </c>
      <c r="L459" s="67">
        <f>$WM$616</f>
        <v>864.8</v>
      </c>
      <c r="M459" s="5" t="s">
        <v>904</v>
      </c>
      <c r="N459" s="219" t="s">
        <v>1657</v>
      </c>
      <c r="P459" s="67">
        <f>$RH$622</f>
        <v>726.40000000000009</v>
      </c>
      <c r="Q459" s="5" t="s">
        <v>904</v>
      </c>
      <c r="R459" s="219" t="s">
        <v>1655</v>
      </c>
      <c r="T459" s="67">
        <f>$PO$628</f>
        <v>401.29999999999995</v>
      </c>
      <c r="U459" s="5" t="s">
        <v>904</v>
      </c>
      <c r="V459" s="63" t="s">
        <v>3402</v>
      </c>
      <c r="X459" s="67">
        <f>$APE$634</f>
        <v>402.70000000000005</v>
      </c>
      <c r="Y459" s="5" t="s">
        <v>904</v>
      </c>
      <c r="Z459" s="278" t="s">
        <v>154</v>
      </c>
      <c r="AB459" s="67">
        <f>$Q$640</f>
        <v>238</v>
      </c>
      <c r="AC459" s="5" t="s">
        <v>904</v>
      </c>
      <c r="AD459" s="219" t="s">
        <v>1660</v>
      </c>
      <c r="AF459" s="67">
        <f>$ND$646</f>
        <v>195</v>
      </c>
      <c r="AG459" s="5" t="s">
        <v>904</v>
      </c>
      <c r="AH459" s="28" t="s">
        <v>155</v>
      </c>
      <c r="AJ459" s="67">
        <f>$BS$652</f>
        <v>119.4</v>
      </c>
      <c r="AK459" s="5" t="s">
        <v>904</v>
      </c>
      <c r="AL459" s="219" t="s">
        <v>1644</v>
      </c>
      <c r="AN459" s="67">
        <f>$UT$658</f>
        <v>92.9</v>
      </c>
      <c r="AO459" s="5" t="s">
        <v>904</v>
      </c>
      <c r="AP459" s="63" t="s">
        <v>3387</v>
      </c>
      <c r="AR459" s="67">
        <f>$AMB$664</f>
        <v>16.5</v>
      </c>
      <c r="AS459" s="5" t="s">
        <v>904</v>
      </c>
      <c r="AT459" s="63" t="s">
        <v>3407</v>
      </c>
      <c r="AV459" s="67">
        <f>$ANL$670</f>
        <v>31.5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3376</v>
      </c>
      <c r="D460" s="67">
        <f>$AIG$604</f>
        <v>2271.6000000000004</v>
      </c>
      <c r="E460" s="5" t="s">
        <v>905</v>
      </c>
      <c r="F460" s="63" t="s">
        <v>3384</v>
      </c>
      <c r="H460" s="67">
        <f>$ALA$610</f>
        <v>1059.5</v>
      </c>
      <c r="I460" s="5" t="s">
        <v>905</v>
      </c>
      <c r="J460" s="63" t="s">
        <v>141</v>
      </c>
      <c r="L460" s="67">
        <f>$GF$616</f>
        <v>859</v>
      </c>
      <c r="M460" s="5" t="s">
        <v>905</v>
      </c>
      <c r="N460" s="63" t="s">
        <v>141</v>
      </c>
      <c r="P460" s="67">
        <f>$GF$622</f>
        <v>726.2</v>
      </c>
      <c r="Q460" s="5" t="s">
        <v>905</v>
      </c>
      <c r="R460" s="63" t="s">
        <v>180</v>
      </c>
      <c r="T460" s="67">
        <f>$AOD$628</f>
        <v>400.3</v>
      </c>
      <c r="U460" s="5" t="s">
        <v>905</v>
      </c>
      <c r="V460" s="278" t="s">
        <v>143</v>
      </c>
      <c r="X460" s="67">
        <f>$CT$634</f>
        <v>399.8</v>
      </c>
      <c r="Y460" s="5" t="s">
        <v>905</v>
      </c>
      <c r="Z460" s="278" t="s">
        <v>2014</v>
      </c>
      <c r="AB460" s="67">
        <f>$VC$640</f>
        <v>235.8</v>
      </c>
      <c r="AC460" s="5" t="s">
        <v>905</v>
      </c>
      <c r="AD460" s="219" t="s">
        <v>1659</v>
      </c>
      <c r="AF460" s="67">
        <f>$PF$646</f>
        <v>187.7</v>
      </c>
      <c r="AG460" s="5" t="s">
        <v>905</v>
      </c>
      <c r="AH460" s="278" t="s">
        <v>143</v>
      </c>
      <c r="AJ460" s="67">
        <f>$CT$652</f>
        <v>119.30000000000001</v>
      </c>
      <c r="AK460" s="5" t="s">
        <v>905</v>
      </c>
      <c r="AL460" s="63" t="s">
        <v>3375</v>
      </c>
      <c r="AN460" s="67">
        <f>$AHX$658</f>
        <v>89.6</v>
      </c>
      <c r="AO460" s="5" t="s">
        <v>905</v>
      </c>
      <c r="AP460" s="278" t="s">
        <v>13</v>
      </c>
      <c r="AR460" s="67">
        <f>$NV$664</f>
        <v>15.5</v>
      </c>
      <c r="AS460" s="5" t="s">
        <v>905</v>
      </c>
      <c r="AT460" s="219" t="s">
        <v>1653</v>
      </c>
      <c r="AV460" s="67">
        <f>$ML$670</f>
        <v>31.5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3379</v>
      </c>
      <c r="D461" s="67">
        <f>$AJH$604</f>
        <v>2271.6000000000004</v>
      </c>
      <c r="E461" s="5" t="s">
        <v>906</v>
      </c>
      <c r="F461" s="63" t="s">
        <v>796</v>
      </c>
      <c r="H461" s="67">
        <f>$KJ$610</f>
        <v>1005.8000000000001</v>
      </c>
      <c r="I461" s="5" t="s">
        <v>906</v>
      </c>
      <c r="J461" s="63" t="s">
        <v>3384</v>
      </c>
      <c r="L461" s="67">
        <f>$ALA$616</f>
        <v>857.5</v>
      </c>
      <c r="M461" s="5" t="s">
        <v>906</v>
      </c>
      <c r="N461" s="63" t="s">
        <v>782</v>
      </c>
      <c r="P461" s="67">
        <f>$QG$622</f>
        <v>720.2</v>
      </c>
      <c r="Q461" s="5" t="s">
        <v>906</v>
      </c>
      <c r="R461" s="278" t="s">
        <v>11</v>
      </c>
      <c r="T461" s="67">
        <f>$CB$628</f>
        <v>386.7</v>
      </c>
      <c r="U461" s="5" t="s">
        <v>906</v>
      </c>
      <c r="V461" s="219" t="s">
        <v>1652</v>
      </c>
      <c r="X461" s="67">
        <f>$ON$634</f>
        <v>395.3</v>
      </c>
      <c r="Y461" s="5" t="s">
        <v>906</v>
      </c>
      <c r="Z461" s="63" t="s">
        <v>3389</v>
      </c>
      <c r="AB461" s="67">
        <f>$AMT$640</f>
        <v>234.50000000000003</v>
      </c>
      <c r="AC461" s="5" t="s">
        <v>906</v>
      </c>
      <c r="AD461" s="278" t="s">
        <v>2022</v>
      </c>
      <c r="AF461" s="67">
        <f>$SR$646</f>
        <v>182.20000000000002</v>
      </c>
      <c r="AG461" s="5" t="s">
        <v>906</v>
      </c>
      <c r="AH461" s="63" t="s">
        <v>728</v>
      </c>
      <c r="AJ461" s="67">
        <f>$TS$652</f>
        <v>117.1</v>
      </c>
      <c r="AK461" s="5" t="s">
        <v>906</v>
      </c>
      <c r="AL461" s="278" t="s">
        <v>27</v>
      </c>
      <c r="AN461" s="67">
        <f>$MC$658</f>
        <v>88.3</v>
      </c>
      <c r="AO461" s="5" t="s">
        <v>906</v>
      </c>
      <c r="AP461" s="63" t="s">
        <v>3406</v>
      </c>
      <c r="AR461" s="67">
        <f>$AQF$664</f>
        <v>15.299999999999999</v>
      </c>
      <c r="AS461" s="5" t="s">
        <v>906</v>
      </c>
      <c r="AT461" s="278" t="s">
        <v>13</v>
      </c>
      <c r="AV461" s="67">
        <f>$NV$670</f>
        <v>30.5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19" t="s">
        <v>1656</v>
      </c>
      <c r="D462" s="67">
        <f>$QP$604</f>
        <v>2271.6000000000004</v>
      </c>
      <c r="E462" s="5" t="s">
        <v>907</v>
      </c>
      <c r="F462" s="63" t="s">
        <v>3388</v>
      </c>
      <c r="H462" s="67">
        <f>$AMK$610</f>
        <v>996.6</v>
      </c>
      <c r="I462" s="5" t="s">
        <v>907</v>
      </c>
      <c r="J462" s="63" t="s">
        <v>3386</v>
      </c>
      <c r="L462" s="67">
        <f>$ALS$616</f>
        <v>831.3</v>
      </c>
      <c r="M462" s="5" t="s">
        <v>907</v>
      </c>
      <c r="N462" s="63" t="s">
        <v>753</v>
      </c>
      <c r="P462" s="67">
        <f>$EM$622</f>
        <v>718.5</v>
      </c>
      <c r="Q462" s="5" t="s">
        <v>907</v>
      </c>
      <c r="R462" s="219" t="s">
        <v>1652</v>
      </c>
      <c r="T462" s="67">
        <f>$ON$628</f>
        <v>386.49999999999994</v>
      </c>
      <c r="U462" s="5" t="s">
        <v>907</v>
      </c>
      <c r="V462" s="278" t="s">
        <v>2006</v>
      </c>
      <c r="X462" s="67">
        <f>$TJ$634</f>
        <v>394</v>
      </c>
      <c r="Y462" s="5" t="s">
        <v>907</v>
      </c>
      <c r="Z462" s="63" t="s">
        <v>3394</v>
      </c>
      <c r="AB462" s="67">
        <f>$AOV$640</f>
        <v>233.20000000000002</v>
      </c>
      <c r="AC462" s="5" t="s">
        <v>907</v>
      </c>
      <c r="AD462" s="63" t="s">
        <v>3402</v>
      </c>
      <c r="AF462" s="67">
        <f>$APE$646</f>
        <v>181</v>
      </c>
      <c r="AG462" s="5" t="s">
        <v>907</v>
      </c>
      <c r="AH462" s="63" t="s">
        <v>748</v>
      </c>
      <c r="AJ462" s="67">
        <f>$GO$652</f>
        <v>115.6</v>
      </c>
      <c r="AK462" s="5" t="s">
        <v>907</v>
      </c>
      <c r="AL462" s="278" t="s">
        <v>2031</v>
      </c>
      <c r="AN462" s="67">
        <f>$ZG$658</f>
        <v>88</v>
      </c>
      <c r="AO462" s="5" t="s">
        <v>907</v>
      </c>
      <c r="AP462" s="278" t="s">
        <v>9</v>
      </c>
      <c r="AR462" s="67">
        <f>$LT$664</f>
        <v>14.6</v>
      </c>
      <c r="AS462" s="5" t="s">
        <v>907</v>
      </c>
      <c r="AT462" s="63" t="s">
        <v>3380</v>
      </c>
      <c r="AV462" s="67">
        <f>$AJQ$670</f>
        <v>30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8" t="s">
        <v>37</v>
      </c>
      <c r="D463" s="67">
        <f>$DC$604</f>
        <v>2265.8999999999996</v>
      </c>
      <c r="E463" s="5" t="s">
        <v>908</v>
      </c>
      <c r="F463" s="278" t="s">
        <v>31</v>
      </c>
      <c r="H463" s="67">
        <f>$Z$610</f>
        <v>985.90000000000009</v>
      </c>
      <c r="I463" s="5" t="s">
        <v>908</v>
      </c>
      <c r="J463" s="219" t="s">
        <v>1660</v>
      </c>
      <c r="L463" s="67">
        <f>$ND$616</f>
        <v>820.6</v>
      </c>
      <c r="M463" s="5" t="s">
        <v>908</v>
      </c>
      <c r="N463" s="278" t="s">
        <v>3374</v>
      </c>
      <c r="P463" s="67">
        <f>$AHO$622</f>
        <v>710.5</v>
      </c>
      <c r="Q463" s="5" t="s">
        <v>908</v>
      </c>
      <c r="R463" s="63" t="s">
        <v>3385</v>
      </c>
      <c r="T463" s="67">
        <f>$ALJ$628</f>
        <v>385.79999999999995</v>
      </c>
      <c r="U463" s="5" t="s">
        <v>908</v>
      </c>
      <c r="V463" s="63" t="s">
        <v>755</v>
      </c>
      <c r="X463" s="67">
        <f>$OW$634</f>
        <v>385.5</v>
      </c>
      <c r="Y463" s="5" t="s">
        <v>908</v>
      </c>
      <c r="Z463" s="63" t="s">
        <v>3391</v>
      </c>
      <c r="AB463" s="67">
        <f>$ANU$640</f>
        <v>233.10000000000002</v>
      </c>
      <c r="AC463" s="5" t="s">
        <v>908</v>
      </c>
      <c r="AD463" s="63" t="s">
        <v>3377</v>
      </c>
      <c r="AF463" s="67">
        <f>$AIP$646</f>
        <v>175.1</v>
      </c>
      <c r="AG463" s="5" t="s">
        <v>908</v>
      </c>
      <c r="AH463" s="219" t="s">
        <v>1655</v>
      </c>
      <c r="AJ463" s="67">
        <f>$PO$652</f>
        <v>112</v>
      </c>
      <c r="AK463" s="5" t="s">
        <v>908</v>
      </c>
      <c r="AL463" s="278" t="s">
        <v>2027</v>
      </c>
      <c r="AN463" s="67">
        <f>$YF$658</f>
        <v>84.699999999999989</v>
      </c>
      <c r="AO463" s="5" t="s">
        <v>908</v>
      </c>
      <c r="AP463" s="63" t="s">
        <v>734</v>
      </c>
      <c r="AR463" s="67">
        <f>$LK$664</f>
        <v>14.3</v>
      </c>
      <c r="AS463" s="5" t="s">
        <v>908</v>
      </c>
      <c r="AT463" s="63" t="s">
        <v>3405</v>
      </c>
      <c r="AV463" s="67">
        <f>$APW$670</f>
        <v>29.9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278" t="s">
        <v>2010</v>
      </c>
      <c r="D464" s="67">
        <f>$SI$604</f>
        <v>2250.4</v>
      </c>
      <c r="E464" s="5" t="s">
        <v>909</v>
      </c>
      <c r="F464" s="278" t="s">
        <v>2034</v>
      </c>
      <c r="H464" s="67">
        <f>$ZY$610</f>
        <v>961.7</v>
      </c>
      <c r="I464" s="5" t="s">
        <v>909</v>
      </c>
      <c r="J464" s="63" t="s">
        <v>3406</v>
      </c>
      <c r="L464" s="67">
        <f>$AQF$616</f>
        <v>820.49999999999989</v>
      </c>
      <c r="M464" s="5" t="s">
        <v>909</v>
      </c>
      <c r="N464" s="278" t="s">
        <v>2031</v>
      </c>
      <c r="P464" s="67">
        <f>$ZG$622</f>
        <v>708.40000000000009</v>
      </c>
      <c r="Q464" s="5" t="s">
        <v>909</v>
      </c>
      <c r="R464" s="278" t="s">
        <v>2014</v>
      </c>
      <c r="T464" s="67">
        <f>$VC$628</f>
        <v>384.4</v>
      </c>
      <c r="U464" s="5" t="s">
        <v>909</v>
      </c>
      <c r="V464" s="63" t="s">
        <v>3377</v>
      </c>
      <c r="X464" s="67">
        <f>$AIP$634</f>
        <v>382.7</v>
      </c>
      <c r="Y464" s="5" t="s">
        <v>909</v>
      </c>
      <c r="Z464" s="219" t="s">
        <v>1655</v>
      </c>
      <c r="AB464" s="67">
        <f>$PO$640</f>
        <v>230.39999999999998</v>
      </c>
      <c r="AC464" s="5" t="s">
        <v>909</v>
      </c>
      <c r="AD464" s="63" t="s">
        <v>3376</v>
      </c>
      <c r="AF464" s="67">
        <f>$AIG$646</f>
        <v>170.90000000000003</v>
      </c>
      <c r="AG464" s="5" t="s">
        <v>909</v>
      </c>
      <c r="AH464" s="63" t="s">
        <v>755</v>
      </c>
      <c r="AJ464" s="67">
        <f>$OW$652</f>
        <v>103.9</v>
      </c>
      <c r="AK464" s="5" t="s">
        <v>909</v>
      </c>
      <c r="AL464" s="278" t="s">
        <v>154</v>
      </c>
      <c r="AN464" s="67">
        <f>$Q$658</f>
        <v>83.299999999999983</v>
      </c>
      <c r="AO464" s="5" t="s">
        <v>909</v>
      </c>
      <c r="AP464" s="63" t="s">
        <v>3376</v>
      </c>
      <c r="AR464" s="67">
        <f>$AIG$664</f>
        <v>14.1</v>
      </c>
      <c r="AS464" s="5" t="s">
        <v>909</v>
      </c>
      <c r="AT464" s="28" t="s">
        <v>37</v>
      </c>
      <c r="AV464" s="67">
        <f>$DC$670</f>
        <v>29.4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728</v>
      </c>
      <c r="D465" s="67">
        <f>$TS$604</f>
        <v>2245</v>
      </c>
      <c r="E465" s="5" t="s">
        <v>910</v>
      </c>
      <c r="F465" s="63" t="s">
        <v>3376</v>
      </c>
      <c r="H465" s="67">
        <f>$AIG$610</f>
        <v>958.09999999999991</v>
      </c>
      <c r="I465" s="5" t="s">
        <v>910</v>
      </c>
      <c r="J465" s="278" t="s">
        <v>2034</v>
      </c>
      <c r="L465" s="67">
        <f>$ZY$616</f>
        <v>810.3</v>
      </c>
      <c r="M465" s="5" t="s">
        <v>910</v>
      </c>
      <c r="N465" s="63" t="s">
        <v>3378</v>
      </c>
      <c r="P465" s="67">
        <f>$AIY$622</f>
        <v>696.7</v>
      </c>
      <c r="Q465" s="5" t="s">
        <v>910</v>
      </c>
      <c r="R465" s="63" t="s">
        <v>771</v>
      </c>
      <c r="T465" s="67">
        <f>$MU$628</f>
        <v>374.2</v>
      </c>
      <c r="U465" s="5" t="s">
        <v>910</v>
      </c>
      <c r="V465" s="63" t="s">
        <v>3387</v>
      </c>
      <c r="X465" s="67">
        <f>$AMB$634</f>
        <v>382.20000000000005</v>
      </c>
      <c r="Y465" s="5" t="s">
        <v>910</v>
      </c>
      <c r="Z465" s="278" t="s">
        <v>2056</v>
      </c>
      <c r="AB465" s="67">
        <f>$ABR$640</f>
        <v>229.2</v>
      </c>
      <c r="AC465" s="5" t="s">
        <v>910</v>
      </c>
      <c r="AD465" s="278" t="s">
        <v>2010</v>
      </c>
      <c r="AF465" s="67">
        <f>$SI$646</f>
        <v>170.3</v>
      </c>
      <c r="AG465" s="5" t="s">
        <v>910</v>
      </c>
      <c r="AH465" s="63" t="s">
        <v>3381</v>
      </c>
      <c r="AJ465" s="67">
        <f>$AJZ$652</f>
        <v>100.69999999999999</v>
      </c>
      <c r="AK465" s="5" t="s">
        <v>910</v>
      </c>
      <c r="AL465" s="63" t="s">
        <v>3386</v>
      </c>
      <c r="AN465" s="67">
        <f>$ALS$658</f>
        <v>82.7</v>
      </c>
      <c r="AO465" s="5" t="s">
        <v>910</v>
      </c>
      <c r="AP465" s="63" t="s">
        <v>3391</v>
      </c>
      <c r="AR465" s="67">
        <f>$ANU$664</f>
        <v>13.2</v>
      </c>
      <c r="AS465" s="5" t="s">
        <v>910</v>
      </c>
      <c r="AT465" s="63" t="s">
        <v>790</v>
      </c>
      <c r="AV465" s="67">
        <f>$IZ$670</f>
        <v>28.4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764</v>
      </c>
      <c r="D466" s="67">
        <f>$JR$604</f>
        <v>2241.7999999999997</v>
      </c>
      <c r="E466" s="5" t="s">
        <v>911</v>
      </c>
      <c r="F466" s="278" t="s">
        <v>779</v>
      </c>
      <c r="H466" s="67">
        <f>$AI$610</f>
        <v>910.7</v>
      </c>
      <c r="I466" s="5" t="s">
        <v>911</v>
      </c>
      <c r="J466" s="278" t="s">
        <v>2010</v>
      </c>
      <c r="L466" s="67">
        <f>$SI$616</f>
        <v>802.5</v>
      </c>
      <c r="M466" s="5" t="s">
        <v>911</v>
      </c>
      <c r="N466" s="219" t="s">
        <v>1643</v>
      </c>
      <c r="P466" s="67">
        <f>$UB$622</f>
        <v>695.59999999999991</v>
      </c>
      <c r="Q466" s="5" t="s">
        <v>911</v>
      </c>
      <c r="R466" s="219" t="s">
        <v>1656</v>
      </c>
      <c r="T466" s="67">
        <f>$QP$628</f>
        <v>368.09999999999997</v>
      </c>
      <c r="U466" s="5" t="s">
        <v>911</v>
      </c>
      <c r="V466" s="278" t="s">
        <v>2056</v>
      </c>
      <c r="X466" s="67">
        <f>$ABR$634</f>
        <v>374.2</v>
      </c>
      <c r="Y466" s="5" t="s">
        <v>911</v>
      </c>
      <c r="Z466" s="63" t="s">
        <v>3383</v>
      </c>
      <c r="AB466" s="67">
        <f>$AKR$640</f>
        <v>228.3</v>
      </c>
      <c r="AC466" s="5" t="s">
        <v>911</v>
      </c>
      <c r="AD466" s="63" t="s">
        <v>3391</v>
      </c>
      <c r="AF466" s="67">
        <f>$ANU$646</f>
        <v>163.4</v>
      </c>
      <c r="AG466" s="5" t="s">
        <v>911</v>
      </c>
      <c r="AH466" s="63" t="s">
        <v>141</v>
      </c>
      <c r="AJ466" s="67">
        <f>$GF$652</f>
        <v>100.1</v>
      </c>
      <c r="AK466" s="5" t="s">
        <v>911</v>
      </c>
      <c r="AL466" s="278" t="s">
        <v>2028</v>
      </c>
      <c r="AN466" s="67">
        <f>$AAQ$658</f>
        <v>76.100000000000009</v>
      </c>
      <c r="AO466" s="5" t="s">
        <v>911</v>
      </c>
      <c r="AP466" s="63" t="s">
        <v>3405</v>
      </c>
      <c r="AR466" s="67">
        <f>$APW$664</f>
        <v>12.6</v>
      </c>
      <c r="AS466" s="5" t="s">
        <v>911</v>
      </c>
      <c r="AT466" s="278" t="s">
        <v>2029</v>
      </c>
      <c r="AV466" s="67">
        <f>$ZP$670</f>
        <v>21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3394</v>
      </c>
      <c r="D467" s="67">
        <f>$AOV$604</f>
        <v>2239.9</v>
      </c>
      <c r="E467" s="5" t="s">
        <v>912</v>
      </c>
      <c r="F467" s="278" t="s">
        <v>13</v>
      </c>
      <c r="H467" s="67">
        <f>$NV$610</f>
        <v>896</v>
      </c>
      <c r="I467" s="5" t="s">
        <v>912</v>
      </c>
      <c r="J467" s="219" t="s">
        <v>1662</v>
      </c>
      <c r="L467" s="67">
        <f>$HP$616</f>
        <v>800.4</v>
      </c>
      <c r="M467" s="5" t="s">
        <v>912</v>
      </c>
      <c r="N467" s="63" t="s">
        <v>180</v>
      </c>
      <c r="P467" s="67">
        <f>$AOD$622</f>
        <v>693.30000000000007</v>
      </c>
      <c r="Q467" s="5" t="s">
        <v>912</v>
      </c>
      <c r="R467" s="278" t="s">
        <v>783</v>
      </c>
      <c r="T467" s="67">
        <f>$CK$628</f>
        <v>359.7</v>
      </c>
      <c r="U467" s="5" t="s">
        <v>912</v>
      </c>
      <c r="V467" s="63" t="s">
        <v>3381</v>
      </c>
      <c r="X467" s="67">
        <f>$AJZ$634</f>
        <v>365.40000000000003</v>
      </c>
      <c r="Y467" s="5" t="s">
        <v>912</v>
      </c>
      <c r="Z467" s="63" t="s">
        <v>755</v>
      </c>
      <c r="AB467" s="67">
        <f>$OW$640</f>
        <v>221.5</v>
      </c>
      <c r="AC467" s="5" t="s">
        <v>912</v>
      </c>
      <c r="AD467" s="63" t="s">
        <v>3381</v>
      </c>
      <c r="AF467" s="67">
        <f>$AJZ$646</f>
        <v>156.19999999999999</v>
      </c>
      <c r="AG467" s="5" t="s">
        <v>912</v>
      </c>
      <c r="AH467" s="63" t="s">
        <v>3382</v>
      </c>
      <c r="AJ467" s="67">
        <f>$AKI$652</f>
        <v>95.6</v>
      </c>
      <c r="AK467" s="5" t="s">
        <v>912</v>
      </c>
      <c r="AL467" s="63" t="s">
        <v>3385</v>
      </c>
      <c r="AN467" s="67">
        <f>$ALJ$658</f>
        <v>74.2</v>
      </c>
      <c r="AO467" s="5" t="s">
        <v>912</v>
      </c>
      <c r="AP467" s="219" t="s">
        <v>1657</v>
      </c>
      <c r="AR467" s="67">
        <f>$RH$664</f>
        <v>12.100000000000001</v>
      </c>
      <c r="AS467" s="5" t="s">
        <v>912</v>
      </c>
      <c r="AT467" s="63" t="s">
        <v>3406</v>
      </c>
      <c r="AV467" s="67">
        <f>$AQF$670</f>
        <v>18.899999999999999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762</v>
      </c>
      <c r="D468" s="67">
        <f>$FE$604</f>
        <v>2239.9</v>
      </c>
      <c r="E468" s="5" t="s">
        <v>913</v>
      </c>
      <c r="F468" s="278" t="s">
        <v>154</v>
      </c>
      <c r="H468" s="67">
        <f>$Q$610</f>
        <v>855.2</v>
      </c>
      <c r="I468" s="5" t="s">
        <v>913</v>
      </c>
      <c r="J468" s="278" t="s">
        <v>23</v>
      </c>
      <c r="L468" s="67">
        <f>$KS$616</f>
        <v>786.2</v>
      </c>
      <c r="M468" s="5" t="s">
        <v>913</v>
      </c>
      <c r="N468" s="219" t="s">
        <v>1660</v>
      </c>
      <c r="P468" s="67">
        <f>$ND$622</f>
        <v>670.8</v>
      </c>
      <c r="Q468" s="5" t="s">
        <v>913</v>
      </c>
      <c r="R468" s="278" t="s">
        <v>31</v>
      </c>
      <c r="T468" s="67">
        <f>$Z$628</f>
        <v>356.8</v>
      </c>
      <c r="U468" s="5" t="s">
        <v>913</v>
      </c>
      <c r="V468" s="278" t="s">
        <v>27</v>
      </c>
      <c r="X468" s="67">
        <f>$MC$634</f>
        <v>364.5</v>
      </c>
      <c r="Y468" s="5" t="s">
        <v>913</v>
      </c>
      <c r="Z468" s="63" t="s">
        <v>3385</v>
      </c>
      <c r="AB468" s="67">
        <f>$ALJ$640</f>
        <v>213.7</v>
      </c>
      <c r="AC468" s="5" t="s">
        <v>913</v>
      </c>
      <c r="AD468" s="278" t="s">
        <v>2054</v>
      </c>
      <c r="AF468" s="67">
        <f>$AAH$646</f>
        <v>154.60000000000002</v>
      </c>
      <c r="AG468" s="5" t="s">
        <v>913</v>
      </c>
      <c r="AH468" s="278" t="s">
        <v>2015</v>
      </c>
      <c r="AJ468" s="67">
        <f>$VL$652</f>
        <v>94.9</v>
      </c>
      <c r="AK468" s="5" t="s">
        <v>913</v>
      </c>
      <c r="AL468" s="278" t="s">
        <v>15</v>
      </c>
      <c r="AN468" s="67">
        <f>$HY$658</f>
        <v>73.5</v>
      </c>
      <c r="AO468" s="5" t="s">
        <v>913</v>
      </c>
      <c r="AP468" s="278" t="s">
        <v>3374</v>
      </c>
      <c r="AR468" s="67">
        <f>$AHO$664</f>
        <v>11.7</v>
      </c>
      <c r="AS468" s="5" t="s">
        <v>913</v>
      </c>
      <c r="AT468" s="63" t="s">
        <v>3403</v>
      </c>
      <c r="AV468" s="67">
        <f>$APN$670</f>
        <v>16.5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219" t="s">
        <v>1654</v>
      </c>
      <c r="D469" s="67">
        <f>$QY$604</f>
        <v>2239.9</v>
      </c>
      <c r="E469" s="5" t="s">
        <v>914</v>
      </c>
      <c r="F469" s="278" t="s">
        <v>2007</v>
      </c>
      <c r="H469" s="67">
        <f>$WM$610</f>
        <v>855.09999999999991</v>
      </c>
      <c r="I469" s="5" t="s">
        <v>914</v>
      </c>
      <c r="J469" s="63" t="s">
        <v>3385</v>
      </c>
      <c r="L469" s="67">
        <f>$ALJ$616</f>
        <v>782.8</v>
      </c>
      <c r="M469" s="5" t="s">
        <v>914</v>
      </c>
      <c r="N469" s="63" t="s">
        <v>153</v>
      </c>
      <c r="P469" s="67">
        <f>$KA$622</f>
        <v>666.2</v>
      </c>
      <c r="Q469" s="5" t="s">
        <v>914</v>
      </c>
      <c r="R469" s="63" t="s">
        <v>3407</v>
      </c>
      <c r="T469" s="67">
        <f>$ANL$628</f>
        <v>354.3</v>
      </c>
      <c r="U469" s="5" t="s">
        <v>914</v>
      </c>
      <c r="V469" s="219" t="s">
        <v>1643</v>
      </c>
      <c r="X469" s="67">
        <f>$UB$634</f>
        <v>364.2</v>
      </c>
      <c r="Y469" s="5" t="s">
        <v>914</v>
      </c>
      <c r="Z469" s="63" t="s">
        <v>3378</v>
      </c>
      <c r="AB469" s="67">
        <f>$AIY$640</f>
        <v>212.8</v>
      </c>
      <c r="AC469" s="5" t="s">
        <v>914</v>
      </c>
      <c r="AD469" s="63" t="s">
        <v>728</v>
      </c>
      <c r="AF469" s="67">
        <f>$TS$646</f>
        <v>154.6</v>
      </c>
      <c r="AG469" s="5" t="s">
        <v>914</v>
      </c>
      <c r="AH469" s="278" t="s">
        <v>2027</v>
      </c>
      <c r="AJ469" s="67">
        <f>$YF$652</f>
        <v>93.5</v>
      </c>
      <c r="AK469" s="5" t="s">
        <v>914</v>
      </c>
      <c r="AL469" s="63" t="s">
        <v>755</v>
      </c>
      <c r="AN469" s="67">
        <f>$OW$658</f>
        <v>72.8</v>
      </c>
      <c r="AO469" s="5" t="s">
        <v>914</v>
      </c>
      <c r="AP469" s="278" t="s">
        <v>1</v>
      </c>
      <c r="AR469" s="67">
        <f>$TA$664</f>
        <v>11</v>
      </c>
      <c r="AS469" s="5" t="s">
        <v>914</v>
      </c>
      <c r="AT469" s="278" t="s">
        <v>3374</v>
      </c>
      <c r="AV469" s="67">
        <f>$AHO$670</f>
        <v>15.399999999999999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219" t="s">
        <v>1660</v>
      </c>
      <c r="D470" s="67">
        <f>$ND$604</f>
        <v>2239.9</v>
      </c>
      <c r="E470" s="5" t="s">
        <v>915</v>
      </c>
      <c r="F470" s="63" t="s">
        <v>141</v>
      </c>
      <c r="H470" s="67">
        <f>$GF$610</f>
        <v>852.5</v>
      </c>
      <c r="I470" s="5" t="s">
        <v>915</v>
      </c>
      <c r="J470" s="219" t="s">
        <v>1655</v>
      </c>
      <c r="L470" s="67">
        <f>$PO$616</f>
        <v>782.69999999999993</v>
      </c>
      <c r="M470" s="5" t="s">
        <v>915</v>
      </c>
      <c r="N470" s="63" t="s">
        <v>764</v>
      </c>
      <c r="P470" s="67">
        <f>$JR$622</f>
        <v>662.59999999999991</v>
      </c>
      <c r="Q470" s="5" t="s">
        <v>915</v>
      </c>
      <c r="R470" s="278" t="s">
        <v>2161</v>
      </c>
      <c r="T470" s="67">
        <f>$XN$628</f>
        <v>353.1</v>
      </c>
      <c r="U470" s="5" t="s">
        <v>915</v>
      </c>
      <c r="V470" s="63" t="s">
        <v>753</v>
      </c>
      <c r="X470" s="67">
        <f>$EM$634</f>
        <v>362.20000000000005</v>
      </c>
      <c r="Y470" s="5" t="s">
        <v>915</v>
      </c>
      <c r="Z470" s="63" t="s">
        <v>25</v>
      </c>
      <c r="AB470" s="67">
        <f>$BJ$640</f>
        <v>212.39999999999998</v>
      </c>
      <c r="AC470" s="5" t="s">
        <v>915</v>
      </c>
      <c r="AD470" s="278" t="s">
        <v>3374</v>
      </c>
      <c r="AF470" s="67">
        <f>$AHO$646</f>
        <v>154</v>
      </c>
      <c r="AG470" s="5" t="s">
        <v>915</v>
      </c>
      <c r="AH470" s="63" t="s">
        <v>753</v>
      </c>
      <c r="AJ470" s="67">
        <f>$EM$652</f>
        <v>92</v>
      </c>
      <c r="AK470" s="5" t="s">
        <v>915</v>
      </c>
      <c r="AL470" s="63" t="s">
        <v>763</v>
      </c>
      <c r="AN470" s="67">
        <f>$NM$658</f>
        <v>71</v>
      </c>
      <c r="AO470" s="5" t="s">
        <v>915</v>
      </c>
      <c r="AP470" s="278" t="s">
        <v>2007</v>
      </c>
      <c r="AR470" s="67">
        <f>$WM$664</f>
        <v>10.5</v>
      </c>
      <c r="AS470" s="5" t="s">
        <v>915</v>
      </c>
      <c r="AT470" s="63" t="s">
        <v>3387</v>
      </c>
      <c r="AV470" s="67">
        <f>$AMB$670</f>
        <v>14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63" t="s">
        <v>755</v>
      </c>
      <c r="D471" s="67">
        <f>$OW$604</f>
        <v>2232.6</v>
      </c>
      <c r="E471" s="332" t="s">
        <v>916</v>
      </c>
      <c r="F471" s="219" t="s">
        <v>1644</v>
      </c>
      <c r="H471" s="67">
        <f>$UT$610</f>
        <v>848.5</v>
      </c>
      <c r="I471" s="332" t="s">
        <v>916</v>
      </c>
      <c r="J471" s="278" t="s">
        <v>779</v>
      </c>
      <c r="L471" s="67">
        <f>$AI$616</f>
        <v>779.09999999999991</v>
      </c>
      <c r="M471" s="332" t="s">
        <v>916</v>
      </c>
      <c r="N471" s="219" t="s">
        <v>1644</v>
      </c>
      <c r="P471" s="67">
        <f>$UT$622</f>
        <v>643.29999999999995</v>
      </c>
      <c r="Q471" s="332" t="s">
        <v>916</v>
      </c>
      <c r="R471" s="278" t="s">
        <v>13</v>
      </c>
      <c r="T471" s="67">
        <f>$NV$628</f>
        <v>350.2</v>
      </c>
      <c r="U471" s="332" t="s">
        <v>916</v>
      </c>
      <c r="V471" s="278" t="s">
        <v>2030</v>
      </c>
      <c r="X471" s="67">
        <f>$ACA$634</f>
        <v>358.80000000000007</v>
      </c>
      <c r="Y471" s="332" t="s">
        <v>916</v>
      </c>
      <c r="Z471" s="278" t="s">
        <v>2161</v>
      </c>
      <c r="AB471" s="67">
        <f>$XN$640</f>
        <v>207.5</v>
      </c>
      <c r="AC471" s="332" t="s">
        <v>916</v>
      </c>
      <c r="AD471" s="63" t="s">
        <v>3380</v>
      </c>
      <c r="AF471" s="67">
        <f>$AJQ$646</f>
        <v>153.5</v>
      </c>
      <c r="AG471" s="332" t="s">
        <v>916</v>
      </c>
      <c r="AH471" s="278" t="s">
        <v>31</v>
      </c>
      <c r="AJ471" s="67">
        <f>$Z$652</f>
        <v>87.5</v>
      </c>
      <c r="AK471" s="332" t="s">
        <v>916</v>
      </c>
      <c r="AL471" s="63" t="s">
        <v>142</v>
      </c>
      <c r="AN471" s="67">
        <f>$DU$658</f>
        <v>70.400000000000006</v>
      </c>
      <c r="AO471" s="332" t="s">
        <v>916</v>
      </c>
      <c r="AP471" s="63" t="s">
        <v>3386</v>
      </c>
      <c r="AR471" s="67">
        <f>$ALS$664</f>
        <v>10.4</v>
      </c>
      <c r="AS471" s="332" t="s">
        <v>916</v>
      </c>
      <c r="AT471" s="278" t="s">
        <v>27</v>
      </c>
      <c r="AV471" s="67">
        <f>$MC$670</f>
        <v>12.7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782</v>
      </c>
      <c r="D472" s="67">
        <f>$QG$604</f>
        <v>2232.6</v>
      </c>
      <c r="E472" s="332" t="s">
        <v>917</v>
      </c>
      <c r="F472" s="63" t="s">
        <v>738</v>
      </c>
      <c r="H472" s="67">
        <f>$JI$610</f>
        <v>828.1</v>
      </c>
      <c r="I472" s="332" t="s">
        <v>917</v>
      </c>
      <c r="J472" s="63" t="s">
        <v>753</v>
      </c>
      <c r="L472" s="67">
        <f>$EM$616</f>
        <v>771.6</v>
      </c>
      <c r="M472" s="332" t="s">
        <v>917</v>
      </c>
      <c r="N472" s="219" t="s">
        <v>1654</v>
      </c>
      <c r="P472" s="67">
        <f>$QY$622</f>
        <v>634.20000000000005</v>
      </c>
      <c r="Q472" s="332" t="s">
        <v>917</v>
      </c>
      <c r="R472" s="63" t="s">
        <v>3376</v>
      </c>
      <c r="T472" s="67">
        <f>$AIG$628</f>
        <v>333.1</v>
      </c>
      <c r="U472" s="332" t="s">
        <v>917</v>
      </c>
      <c r="V472" s="278" t="s">
        <v>15</v>
      </c>
      <c r="X472" s="67">
        <f>$HY$634</f>
        <v>357.1</v>
      </c>
      <c r="Y472" s="332" t="s">
        <v>917</v>
      </c>
      <c r="Z472" s="278" t="s">
        <v>3373</v>
      </c>
      <c r="AB472" s="67">
        <f>$AHF$640</f>
        <v>207.3</v>
      </c>
      <c r="AC472" s="332" t="s">
        <v>917</v>
      </c>
      <c r="AD472" s="63" t="s">
        <v>153</v>
      </c>
      <c r="AF472" s="67">
        <f>$KA$646</f>
        <v>150.79999999999998</v>
      </c>
      <c r="AG472" s="332" t="s">
        <v>917</v>
      </c>
      <c r="AH472" s="278" t="s">
        <v>2034</v>
      </c>
      <c r="AJ472" s="67">
        <f>$ZY$652</f>
        <v>81.599999999999994</v>
      </c>
      <c r="AK472" s="332" t="s">
        <v>917</v>
      </c>
      <c r="AL472" s="278" t="s">
        <v>2011</v>
      </c>
      <c r="AN472" s="67">
        <f>$VU$658</f>
        <v>69.8</v>
      </c>
      <c r="AO472" s="332" t="s">
        <v>917</v>
      </c>
      <c r="AP472" s="63" t="s">
        <v>3389</v>
      </c>
      <c r="AR472" s="67">
        <f>$AMT$664</f>
        <v>8.4</v>
      </c>
      <c r="AS472" s="332" t="s">
        <v>917</v>
      </c>
      <c r="AT472" s="278" t="s">
        <v>2011</v>
      </c>
      <c r="AV472" s="67">
        <f>$VU$670</f>
        <v>12.399999999999999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763</v>
      </c>
      <c r="D473" s="67">
        <f>$NM$604</f>
        <v>2221.4</v>
      </c>
      <c r="E473" s="332" t="s">
        <v>918</v>
      </c>
      <c r="F473" s="278" t="s">
        <v>2028</v>
      </c>
      <c r="H473" s="67">
        <f>$AAQ$610</f>
        <v>826.9</v>
      </c>
      <c r="I473" s="332" t="s">
        <v>918</v>
      </c>
      <c r="J473" s="63" t="s">
        <v>771</v>
      </c>
      <c r="L473" s="67">
        <f>$MU$616</f>
        <v>768.09999999999991</v>
      </c>
      <c r="M473" s="332" t="s">
        <v>918</v>
      </c>
      <c r="N473" s="278" t="s">
        <v>23</v>
      </c>
      <c r="P473" s="67">
        <f>$KS$622</f>
        <v>631.6</v>
      </c>
      <c r="Q473" s="332" t="s">
        <v>918</v>
      </c>
      <c r="R473" s="63" t="s">
        <v>3377</v>
      </c>
      <c r="T473" s="67">
        <f>$AIP$628</f>
        <v>324</v>
      </c>
      <c r="U473" s="332" t="s">
        <v>918</v>
      </c>
      <c r="V473" s="63" t="s">
        <v>757</v>
      </c>
      <c r="X473" s="67">
        <f>$LB$634</f>
        <v>353.9</v>
      </c>
      <c r="Y473" s="332" t="s">
        <v>918</v>
      </c>
      <c r="Z473" s="63" t="s">
        <v>21</v>
      </c>
      <c r="AB473" s="67">
        <f>$H$640</f>
        <v>205.6</v>
      </c>
      <c r="AC473" s="332" t="s">
        <v>918</v>
      </c>
      <c r="AD473" s="63" t="s">
        <v>748</v>
      </c>
      <c r="AF473" s="67">
        <f>$GO$646</f>
        <v>150.30000000000001</v>
      </c>
      <c r="AG473" s="332" t="s">
        <v>918</v>
      </c>
      <c r="AH473" s="278" t="s">
        <v>2057</v>
      </c>
      <c r="AJ473" s="67">
        <f>$AAZ$652</f>
        <v>81.199999999999989</v>
      </c>
      <c r="AK473" s="332" t="s">
        <v>918</v>
      </c>
      <c r="AL473" s="63" t="s">
        <v>162</v>
      </c>
      <c r="AN473" s="67">
        <f>$IQ$658</f>
        <v>66.2</v>
      </c>
      <c r="AO473" s="332" t="s">
        <v>918</v>
      </c>
      <c r="AP473" s="63" t="s">
        <v>3380</v>
      </c>
      <c r="AR473" s="67">
        <f>$AJQ$664</f>
        <v>6.9</v>
      </c>
      <c r="AS473" s="332" t="s">
        <v>918</v>
      </c>
      <c r="AT473" s="63" t="s">
        <v>180</v>
      </c>
      <c r="AV473" s="67">
        <f>$AOD$670</f>
        <v>12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278" t="s">
        <v>2028</v>
      </c>
      <c r="D474" s="67">
        <f>$AAQ$604</f>
        <v>2215.7999999999997</v>
      </c>
      <c r="E474" s="332" t="s">
        <v>919</v>
      </c>
      <c r="F474" s="278" t="s">
        <v>2054</v>
      </c>
      <c r="H474" s="67">
        <f>$AAH$610</f>
        <v>823.4</v>
      </c>
      <c r="I474" s="332" t="s">
        <v>919</v>
      </c>
      <c r="J474" s="63" t="s">
        <v>788</v>
      </c>
      <c r="L474" s="67">
        <f>$OE$616</f>
        <v>765.1</v>
      </c>
      <c r="M474" s="332" t="s">
        <v>919</v>
      </c>
      <c r="N474" s="63" t="s">
        <v>3376</v>
      </c>
      <c r="P474" s="67">
        <f>$AIG$622</f>
        <v>619.6</v>
      </c>
      <c r="Q474" s="332" t="s">
        <v>919</v>
      </c>
      <c r="R474" s="63" t="s">
        <v>790</v>
      </c>
      <c r="T474" s="67">
        <f>$IZ$628</f>
        <v>312.5</v>
      </c>
      <c r="U474" s="332" t="s">
        <v>919</v>
      </c>
      <c r="V474" s="63" t="s">
        <v>3391</v>
      </c>
      <c r="X474" s="67">
        <f>$ANU$634</f>
        <v>341.3</v>
      </c>
      <c r="Y474" s="332" t="s">
        <v>919</v>
      </c>
      <c r="Z474" s="219" t="s">
        <v>1654</v>
      </c>
      <c r="AB474" s="67">
        <f>$QY$640</f>
        <v>204.8</v>
      </c>
      <c r="AC474" s="332" t="s">
        <v>919</v>
      </c>
      <c r="AD474" s="219" t="s">
        <v>1652</v>
      </c>
      <c r="AF474" s="67">
        <f>$ON$646</f>
        <v>145.60000000000002</v>
      </c>
      <c r="AG474" s="332" t="s">
        <v>919</v>
      </c>
      <c r="AH474" s="63" t="s">
        <v>21</v>
      </c>
      <c r="AJ474" s="67">
        <f>$H$652</f>
        <v>73.599999999999994</v>
      </c>
      <c r="AK474" s="332" t="s">
        <v>919</v>
      </c>
      <c r="AL474" s="278" t="s">
        <v>783</v>
      </c>
      <c r="AN474" s="67">
        <f>$CK$658</f>
        <v>65.8</v>
      </c>
      <c r="AO474" s="332" t="s">
        <v>919</v>
      </c>
      <c r="AP474" s="278" t="s">
        <v>2029</v>
      </c>
      <c r="AR474" s="67">
        <f>$ZP$664</f>
        <v>6.7</v>
      </c>
      <c r="AS474" s="332" t="s">
        <v>919</v>
      </c>
      <c r="AT474" s="63" t="s">
        <v>753</v>
      </c>
      <c r="AV474" s="67">
        <f>$EM$670</f>
        <v>12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63" t="s">
        <v>3403</v>
      </c>
      <c r="D475" s="67">
        <f>$APN$604</f>
        <v>2188</v>
      </c>
      <c r="E475" s="332" t="s">
        <v>920</v>
      </c>
      <c r="F475" s="63" t="s">
        <v>3375</v>
      </c>
      <c r="H475" s="67">
        <f>$AHX$610</f>
        <v>806.80000000000007</v>
      </c>
      <c r="I475" s="332" t="s">
        <v>920</v>
      </c>
      <c r="J475" s="63" t="s">
        <v>782</v>
      </c>
      <c r="L475" s="67">
        <f>$QG$616</f>
        <v>752.5</v>
      </c>
      <c r="M475" s="332" t="s">
        <v>920</v>
      </c>
      <c r="N475" s="63" t="s">
        <v>3387</v>
      </c>
      <c r="P475" s="67">
        <f>$AMB$622</f>
        <v>610</v>
      </c>
      <c r="Q475" s="332" t="s">
        <v>920</v>
      </c>
      <c r="R475" s="278" t="s">
        <v>2054</v>
      </c>
      <c r="T475" s="67">
        <f>$AAH$628</f>
        <v>306.60000000000002</v>
      </c>
      <c r="U475" s="332" t="s">
        <v>920</v>
      </c>
      <c r="V475" s="63" t="s">
        <v>771</v>
      </c>
      <c r="X475" s="67">
        <f>$MU$634</f>
        <v>335.2</v>
      </c>
      <c r="Y475" s="332" t="s">
        <v>920</v>
      </c>
      <c r="Z475" s="278" t="s">
        <v>23</v>
      </c>
      <c r="AB475" s="67">
        <f>$KS$640</f>
        <v>197.79999999999998</v>
      </c>
      <c r="AC475" s="332" t="s">
        <v>920</v>
      </c>
      <c r="AD475" s="63" t="s">
        <v>3382</v>
      </c>
      <c r="AF475" s="67">
        <f>$AKI$646</f>
        <v>144.19999999999999</v>
      </c>
      <c r="AG475" s="332" t="s">
        <v>920</v>
      </c>
      <c r="AH475" s="219" t="s">
        <v>1659</v>
      </c>
      <c r="AJ475" s="67">
        <f>$PF$652</f>
        <v>73</v>
      </c>
      <c r="AK475" s="332" t="s">
        <v>920</v>
      </c>
      <c r="AL475" s="278" t="s">
        <v>2014</v>
      </c>
      <c r="AN475" s="67">
        <f>$VC$658</f>
        <v>63.800000000000004</v>
      </c>
      <c r="AO475" s="332" t="s">
        <v>920</v>
      </c>
      <c r="AP475" s="219" t="s">
        <v>1660</v>
      </c>
      <c r="AR475" s="67">
        <f>$ND$664</f>
        <v>4.1999999999999993</v>
      </c>
      <c r="AS475" s="332" t="s">
        <v>920</v>
      </c>
      <c r="AT475" s="63" t="s">
        <v>746</v>
      </c>
      <c r="AV475" s="67">
        <f>$FW$670</f>
        <v>11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27</v>
      </c>
      <c r="D476" s="67">
        <f>$MC$604</f>
        <v>2168.6999999999998</v>
      </c>
      <c r="E476" s="332" t="s">
        <v>921</v>
      </c>
      <c r="F476" s="278" t="s">
        <v>2022</v>
      </c>
      <c r="H476" s="67">
        <f>$SR$610</f>
        <v>752</v>
      </c>
      <c r="I476" s="332" t="s">
        <v>921</v>
      </c>
      <c r="J476" s="63" t="s">
        <v>3378</v>
      </c>
      <c r="L476" s="67">
        <f>$AIY$616</f>
        <v>747.49999999999989</v>
      </c>
      <c r="M476" s="332" t="s">
        <v>921</v>
      </c>
      <c r="N476" s="63" t="s">
        <v>3384</v>
      </c>
      <c r="P476" s="67">
        <f>$ALA$622</f>
        <v>598.69999999999993</v>
      </c>
      <c r="Q476" s="332" t="s">
        <v>921</v>
      </c>
      <c r="R476" s="219" t="s">
        <v>1662</v>
      </c>
      <c r="T476" s="67">
        <f>$HP$628</f>
        <v>305.40000000000003</v>
      </c>
      <c r="U476" s="332" t="s">
        <v>921</v>
      </c>
      <c r="V476" s="63" t="s">
        <v>3386</v>
      </c>
      <c r="X476" s="67">
        <f>$ALS$634</f>
        <v>324.7</v>
      </c>
      <c r="Y476" s="332" t="s">
        <v>921</v>
      </c>
      <c r="Z476" s="63" t="s">
        <v>728</v>
      </c>
      <c r="AB476" s="67">
        <f>$TS$640</f>
        <v>191.4</v>
      </c>
      <c r="AC476" s="332" t="s">
        <v>921</v>
      </c>
      <c r="AD476" s="63" t="s">
        <v>788</v>
      </c>
      <c r="AF476" s="67">
        <f>$OE$646</f>
        <v>144</v>
      </c>
      <c r="AG476" s="332" t="s">
        <v>921</v>
      </c>
      <c r="AH476" s="278" t="s">
        <v>2054</v>
      </c>
      <c r="AJ476" s="67">
        <f>$AAH$652</f>
        <v>70.5</v>
      </c>
      <c r="AK476" s="332" t="s">
        <v>921</v>
      </c>
      <c r="AL476" s="63" t="s">
        <v>3376</v>
      </c>
      <c r="AN476" s="67">
        <f>$AIG$658</f>
        <v>57.5</v>
      </c>
      <c r="AO476" s="332" t="s">
        <v>921</v>
      </c>
      <c r="AP476" s="63" t="s">
        <v>796</v>
      </c>
      <c r="AR476" s="67">
        <f>$KJ$664</f>
        <v>3.5999999999999996</v>
      </c>
      <c r="AS476" s="332" t="s">
        <v>921</v>
      </c>
      <c r="AT476" s="63" t="s">
        <v>3385</v>
      </c>
      <c r="AV476" s="67">
        <f>$ALJ$670</f>
        <v>9.9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2161</v>
      </c>
      <c r="D477" s="67">
        <f>$XN$604</f>
        <v>2168</v>
      </c>
      <c r="E477" s="332" t="s">
        <v>922</v>
      </c>
      <c r="F477" s="278" t="s">
        <v>3374</v>
      </c>
      <c r="H477" s="67">
        <f>$AHO$610</f>
        <v>704.3</v>
      </c>
      <c r="I477" s="332" t="s">
        <v>922</v>
      </c>
      <c r="J477" s="278" t="s">
        <v>143</v>
      </c>
      <c r="L477" s="67">
        <f>$CT$616</f>
        <v>742.9</v>
      </c>
      <c r="M477" s="332" t="s">
        <v>922</v>
      </c>
      <c r="N477" s="63" t="s">
        <v>3377</v>
      </c>
      <c r="P477" s="67">
        <f>$AIP$622</f>
        <v>578.4</v>
      </c>
      <c r="Q477" s="332" t="s">
        <v>922</v>
      </c>
      <c r="R477" s="63" t="s">
        <v>3388</v>
      </c>
      <c r="T477" s="67">
        <f>$AMK$628</f>
        <v>299.7</v>
      </c>
      <c r="U477" s="332" t="s">
        <v>922</v>
      </c>
      <c r="V477" s="278" t="s">
        <v>2054</v>
      </c>
      <c r="X477" s="67">
        <f>$AAH$634</f>
        <v>320.5</v>
      </c>
      <c r="Y477" s="332" t="s">
        <v>922</v>
      </c>
      <c r="Z477" s="219" t="s">
        <v>1643</v>
      </c>
      <c r="AB477" s="67">
        <f>$UB$640</f>
        <v>179.60000000000002</v>
      </c>
      <c r="AC477" s="332" t="s">
        <v>922</v>
      </c>
      <c r="AD477" s="278" t="s">
        <v>2056</v>
      </c>
      <c r="AF477" s="67">
        <f>$ABR$646</f>
        <v>142.29999999999998</v>
      </c>
      <c r="AG477" s="332" t="s">
        <v>922</v>
      </c>
      <c r="AH477" s="63" t="s">
        <v>3376</v>
      </c>
      <c r="AJ477" s="67">
        <f>$AIG$652</f>
        <v>68.899999999999991</v>
      </c>
      <c r="AK477" s="332" t="s">
        <v>922</v>
      </c>
      <c r="AL477" s="278" t="s">
        <v>31</v>
      </c>
      <c r="AN477" s="67">
        <f>$Z$658</f>
        <v>56</v>
      </c>
      <c r="AO477" s="332" t="s">
        <v>922</v>
      </c>
      <c r="AP477" s="63" t="s">
        <v>142</v>
      </c>
      <c r="AR477" s="67">
        <f>$DU$664</f>
        <v>3.5999999999999996</v>
      </c>
      <c r="AS477" s="332" t="s">
        <v>922</v>
      </c>
      <c r="AT477" s="63" t="s">
        <v>734</v>
      </c>
      <c r="AV477" s="67">
        <f>$LK$670</f>
        <v>7.7999999999999989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753</v>
      </c>
      <c r="D478" s="67">
        <f>$EM$604</f>
        <v>2127.6000000000004</v>
      </c>
      <c r="E478" s="332" t="s">
        <v>923</v>
      </c>
      <c r="F478" s="63" t="s">
        <v>790</v>
      </c>
      <c r="H478" s="67">
        <f>$IZ$610</f>
        <v>691.5</v>
      </c>
      <c r="I478" s="332" t="s">
        <v>923</v>
      </c>
      <c r="J478" s="63" t="s">
        <v>3379</v>
      </c>
      <c r="L478" s="67">
        <f>$AJH$616</f>
        <v>728.40000000000009</v>
      </c>
      <c r="M478" s="332" t="s">
        <v>923</v>
      </c>
      <c r="N478" s="278" t="s">
        <v>2161</v>
      </c>
      <c r="P478" s="67">
        <f>$XN$622</f>
        <v>575.20000000000005</v>
      </c>
      <c r="Q478" s="332" t="s">
        <v>923</v>
      </c>
      <c r="R478" s="278" t="s">
        <v>3374</v>
      </c>
      <c r="T478" s="67">
        <f>$AHO$628</f>
        <v>294.89999999999998</v>
      </c>
      <c r="U478" s="332" t="s">
        <v>923</v>
      </c>
      <c r="V478" s="278" t="s">
        <v>2028</v>
      </c>
      <c r="X478" s="67">
        <f>$AAQ$634</f>
        <v>319.70000000000005</v>
      </c>
      <c r="Y478" s="332" t="s">
        <v>923</v>
      </c>
      <c r="Z478" s="63" t="s">
        <v>3384</v>
      </c>
      <c r="AB478" s="67">
        <f>$ALA$640</f>
        <v>161.69999999999999</v>
      </c>
      <c r="AC478" s="332" t="s">
        <v>923</v>
      </c>
      <c r="AD478" s="63" t="s">
        <v>771</v>
      </c>
      <c r="AF478" s="67">
        <f>$MU$646</f>
        <v>139.5</v>
      </c>
      <c r="AG478" s="332" t="s">
        <v>923</v>
      </c>
      <c r="AH478" s="63" t="s">
        <v>3386</v>
      </c>
      <c r="AJ478" s="67">
        <f>$ALS$652</f>
        <v>65.5</v>
      </c>
      <c r="AK478" s="332" t="s">
        <v>923</v>
      </c>
      <c r="AL478" s="63" t="s">
        <v>734</v>
      </c>
      <c r="AN478" s="67">
        <f>$LK$658</f>
        <v>55.900000000000006</v>
      </c>
      <c r="AO478" s="332" t="s">
        <v>923</v>
      </c>
      <c r="AP478" s="63" t="s">
        <v>3388</v>
      </c>
      <c r="AR478" s="67">
        <f>$AMK$664</f>
        <v>3.3000000000000003</v>
      </c>
      <c r="AS478" s="332" t="s">
        <v>923</v>
      </c>
      <c r="AT478" s="63" t="s">
        <v>3376</v>
      </c>
      <c r="AV478" s="67">
        <f>$AIG$670</f>
        <v>6.9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3373</v>
      </c>
      <c r="D479" s="67">
        <f>$AHF$604</f>
        <v>2086.1</v>
      </c>
      <c r="E479" s="332" t="s">
        <v>924</v>
      </c>
      <c r="F479" s="63" t="s">
        <v>755</v>
      </c>
      <c r="H479" s="67">
        <f>$OW$610</f>
        <v>669.90000000000009</v>
      </c>
      <c r="I479" s="332" t="s">
        <v>924</v>
      </c>
      <c r="J479" s="278" t="s">
        <v>2056</v>
      </c>
      <c r="L479" s="67">
        <f>$ABR$616</f>
        <v>721.7</v>
      </c>
      <c r="M479" s="332" t="s">
        <v>924</v>
      </c>
      <c r="N479" s="63" t="s">
        <v>728</v>
      </c>
      <c r="P479" s="67">
        <f>$TS$622</f>
        <v>560.6</v>
      </c>
      <c r="Q479" s="332" t="s">
        <v>924</v>
      </c>
      <c r="R479" s="278" t="s">
        <v>3373</v>
      </c>
      <c r="T479" s="67">
        <f>$AHF$628</f>
        <v>293</v>
      </c>
      <c r="U479" s="332" t="s">
        <v>924</v>
      </c>
      <c r="V479" s="278" t="s">
        <v>2014</v>
      </c>
      <c r="X479" s="67">
        <f>$VC$634</f>
        <v>313.89999999999998</v>
      </c>
      <c r="Y479" s="332" t="s">
        <v>924</v>
      </c>
      <c r="Z479" s="278" t="s">
        <v>779</v>
      </c>
      <c r="AB479" s="67">
        <f>$AI$640</f>
        <v>158.29999999999998</v>
      </c>
      <c r="AC479" s="332" t="s">
        <v>924</v>
      </c>
      <c r="AD479" s="63" t="s">
        <v>3379</v>
      </c>
      <c r="AF479" s="67">
        <f>$AJH$646</f>
        <v>136.9</v>
      </c>
      <c r="AG479" s="332" t="s">
        <v>924</v>
      </c>
      <c r="AH479" s="63" t="s">
        <v>3378</v>
      </c>
      <c r="AJ479" s="67">
        <f>$AIY$652</f>
        <v>63.2</v>
      </c>
      <c r="AK479" s="332" t="s">
        <v>924</v>
      </c>
      <c r="AL479" s="278" t="s">
        <v>2007</v>
      </c>
      <c r="AN479" s="67">
        <f>$WM$658</f>
        <v>48.6</v>
      </c>
      <c r="AO479" s="332" t="s">
        <v>924</v>
      </c>
      <c r="AP479" s="63" t="s">
        <v>3377</v>
      </c>
      <c r="AR479" s="67">
        <f>$AIP$664</f>
        <v>2.2000000000000002</v>
      </c>
      <c r="AS479" s="332" t="s">
        <v>924</v>
      </c>
      <c r="AT479" s="63" t="s">
        <v>3393</v>
      </c>
      <c r="AV479" s="67">
        <f>$AOM$670</f>
        <v>3.9000000000000004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278" t="s">
        <v>2054</v>
      </c>
      <c r="D480" s="67">
        <f>$AAH$604</f>
        <v>1994.4</v>
      </c>
      <c r="E480" s="332" t="s">
        <v>925</v>
      </c>
      <c r="F480" s="63" t="s">
        <v>728</v>
      </c>
      <c r="H480" s="67">
        <f>$TS$610</f>
        <v>662.3</v>
      </c>
      <c r="I480" s="332" t="s">
        <v>925</v>
      </c>
      <c r="J480" s="63" t="s">
        <v>748</v>
      </c>
      <c r="L480" s="67">
        <f>$GO$616</f>
        <v>721.1</v>
      </c>
      <c r="M480" s="332" t="s">
        <v>925</v>
      </c>
      <c r="N480" s="278" t="s">
        <v>2011</v>
      </c>
      <c r="P480" s="67">
        <f>$VU$622</f>
        <v>560.20000000000005</v>
      </c>
      <c r="Q480" s="332" t="s">
        <v>925</v>
      </c>
      <c r="R480" s="219" t="s">
        <v>1657</v>
      </c>
      <c r="T480" s="67">
        <f>$RH$628</f>
        <v>286.39999999999998</v>
      </c>
      <c r="U480" s="332" t="s">
        <v>925</v>
      </c>
      <c r="V480" s="63" t="s">
        <v>788</v>
      </c>
      <c r="X480" s="67">
        <f>$OE$634</f>
        <v>300.8</v>
      </c>
      <c r="Y480" s="332" t="s">
        <v>925</v>
      </c>
      <c r="Z480" s="63" t="s">
        <v>3379</v>
      </c>
      <c r="AB480" s="67">
        <f>$AJH$640</f>
        <v>156.20000000000002</v>
      </c>
      <c r="AC480" s="332" t="s">
        <v>925</v>
      </c>
      <c r="AD480" s="63" t="s">
        <v>3384</v>
      </c>
      <c r="AF480" s="67">
        <f>$ALA$646</f>
        <v>128.69999999999999</v>
      </c>
      <c r="AG480" s="332" t="s">
        <v>925</v>
      </c>
      <c r="AH480" s="278" t="s">
        <v>2030</v>
      </c>
      <c r="AJ480" s="67">
        <f>$ACA$652</f>
        <v>59.3</v>
      </c>
      <c r="AK480" s="332" t="s">
        <v>925</v>
      </c>
      <c r="AL480" s="63" t="s">
        <v>749</v>
      </c>
      <c r="AN480" s="67">
        <f>$EV$658</f>
        <v>45.5</v>
      </c>
      <c r="AO480" s="332" t="s">
        <v>925</v>
      </c>
      <c r="AP480" s="278" t="s">
        <v>2006</v>
      </c>
      <c r="AR480" s="67">
        <f>$TJ$664</f>
        <v>1.3</v>
      </c>
      <c r="AS480" s="332" t="s">
        <v>925</v>
      </c>
      <c r="AT480" s="219" t="s">
        <v>1657</v>
      </c>
      <c r="AV480" s="67">
        <f>$RH$670</f>
        <v>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3374</v>
      </c>
      <c r="D481" s="67">
        <f>$AHO$604</f>
        <v>1993.75</v>
      </c>
      <c r="E481" s="332" t="s">
        <v>926</v>
      </c>
      <c r="F481" s="278" t="s">
        <v>2030</v>
      </c>
      <c r="H481" s="67">
        <f>$ACA$610</f>
        <v>640.6</v>
      </c>
      <c r="I481" s="332" t="s">
        <v>926</v>
      </c>
      <c r="J481" s="63" t="s">
        <v>3388</v>
      </c>
      <c r="L481" s="67">
        <f>$AMK$616</f>
        <v>714.6</v>
      </c>
      <c r="M481" s="332" t="s">
        <v>926</v>
      </c>
      <c r="N481" s="63" t="s">
        <v>3391</v>
      </c>
      <c r="P481" s="67">
        <f>$ANU$622</f>
        <v>549.9</v>
      </c>
      <c r="Q481" s="332" t="s">
        <v>926</v>
      </c>
      <c r="R481" s="63" t="s">
        <v>796</v>
      </c>
      <c r="T481" s="67">
        <f>$KJ$628</f>
        <v>286.29999999999995</v>
      </c>
      <c r="U481" s="332" t="s">
        <v>926</v>
      </c>
      <c r="V481" s="278" t="s">
        <v>2034</v>
      </c>
      <c r="X481" s="67">
        <f>$ZY$634</f>
        <v>292.7</v>
      </c>
      <c r="Y481" s="332" t="s">
        <v>926</v>
      </c>
      <c r="Z481" s="63" t="s">
        <v>753</v>
      </c>
      <c r="AB481" s="67">
        <f>$EM$640</f>
        <v>153.30000000000001</v>
      </c>
      <c r="AC481" s="332" t="s">
        <v>926</v>
      </c>
      <c r="AD481" s="63" t="s">
        <v>3387</v>
      </c>
      <c r="AF481" s="67">
        <f>$AMB$646</f>
        <v>119.49999999999999</v>
      </c>
      <c r="AG481" s="332" t="s">
        <v>926</v>
      </c>
      <c r="AH481" s="63" t="s">
        <v>180</v>
      </c>
      <c r="AJ481" s="67">
        <f>$AOD$652</f>
        <v>52.199999999999996</v>
      </c>
      <c r="AK481" s="332" t="s">
        <v>926</v>
      </c>
      <c r="AL481" s="219" t="s">
        <v>1653</v>
      </c>
      <c r="AN481" s="67">
        <f>$ML$658</f>
        <v>42.5</v>
      </c>
      <c r="AO481" s="332" t="s">
        <v>926</v>
      </c>
      <c r="AP481" s="63" t="s">
        <v>3394</v>
      </c>
      <c r="AR481" s="67">
        <f>$AOV$664</f>
        <v>0</v>
      </c>
      <c r="AS481" s="332" t="s">
        <v>926</v>
      </c>
      <c r="AT481" s="63" t="s">
        <v>782</v>
      </c>
      <c r="AV481" s="67">
        <f>$QG$670</f>
        <v>1.1000000000000001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3384</v>
      </c>
      <c r="D482" s="67">
        <f>$ALA$604</f>
        <v>1962.5</v>
      </c>
      <c r="E482" s="332" t="s">
        <v>927</v>
      </c>
      <c r="F482" s="278" t="s">
        <v>2015</v>
      </c>
      <c r="H482" s="67">
        <f>$VL$610</f>
        <v>634.6</v>
      </c>
      <c r="I482" s="332" t="s">
        <v>927</v>
      </c>
      <c r="J482" s="63" t="s">
        <v>755</v>
      </c>
      <c r="L482" s="67">
        <f>$OW$616</f>
        <v>700.2</v>
      </c>
      <c r="M482" s="332" t="s">
        <v>927</v>
      </c>
      <c r="N482" s="278" t="s">
        <v>11</v>
      </c>
      <c r="P482" s="67">
        <f>$CB$622</f>
        <v>549.20000000000005</v>
      </c>
      <c r="Q482" s="332" t="s">
        <v>927</v>
      </c>
      <c r="R482" s="278" t="s">
        <v>2007</v>
      </c>
      <c r="T482" s="67">
        <f>$WM$628</f>
        <v>281.39999999999998</v>
      </c>
      <c r="U482" s="332" t="s">
        <v>927</v>
      </c>
      <c r="V482" s="63" t="s">
        <v>734</v>
      </c>
      <c r="X482" s="67">
        <f>$LK$634</f>
        <v>267.89999999999998</v>
      </c>
      <c r="Y482" s="332" t="s">
        <v>927</v>
      </c>
      <c r="Z482" s="63" t="s">
        <v>3377</v>
      </c>
      <c r="AB482" s="67">
        <f>$AIP$640</f>
        <v>137.69999999999999</v>
      </c>
      <c r="AC482" s="332" t="s">
        <v>927</v>
      </c>
      <c r="AD482" s="63" t="s">
        <v>782</v>
      </c>
      <c r="AF482" s="67">
        <f>$QG$646</f>
        <v>115.60000000000001</v>
      </c>
      <c r="AG482" s="332" t="s">
        <v>927</v>
      </c>
      <c r="AH482" s="278" t="s">
        <v>2014</v>
      </c>
      <c r="AJ482" s="67">
        <f>$VC$652</f>
        <v>35.700000000000003</v>
      </c>
      <c r="AK482" s="332" t="s">
        <v>927</v>
      </c>
      <c r="AL482" s="63" t="s">
        <v>3384</v>
      </c>
      <c r="AN482" s="67">
        <f>$ALA$658</f>
        <v>33.799999999999997</v>
      </c>
      <c r="AO482" s="332" t="s">
        <v>927</v>
      </c>
      <c r="AP482" s="63" t="s">
        <v>3393</v>
      </c>
      <c r="AR482" s="67">
        <f>$AOM$664</f>
        <v>0</v>
      </c>
      <c r="AS482" s="332" t="s">
        <v>927</v>
      </c>
      <c r="AT482" s="63" t="s">
        <v>3386</v>
      </c>
      <c r="AV482" s="67">
        <f>$ALS$670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2007</v>
      </c>
      <c r="D483" s="67">
        <f>$WM$604</f>
        <v>1897.6</v>
      </c>
      <c r="E483" s="332" t="s">
        <v>928</v>
      </c>
      <c r="F483" s="63" t="s">
        <v>762</v>
      </c>
      <c r="H483" s="67">
        <f>$FE$610</f>
        <v>600.9</v>
      </c>
      <c r="I483" s="332" t="s">
        <v>928</v>
      </c>
      <c r="J483" s="219" t="s">
        <v>1652</v>
      </c>
      <c r="L483" s="67">
        <f>$ON$616</f>
        <v>689.30000000000007</v>
      </c>
      <c r="M483" s="332" t="s">
        <v>928</v>
      </c>
      <c r="N483" s="278" t="s">
        <v>2057</v>
      </c>
      <c r="P483" s="67">
        <f>$AAZ$622</f>
        <v>517.1</v>
      </c>
      <c r="Q483" s="332" t="s">
        <v>928</v>
      </c>
      <c r="R483" s="219" t="s">
        <v>1643</v>
      </c>
      <c r="T483" s="67">
        <f>$UB$628</f>
        <v>278</v>
      </c>
      <c r="U483" s="332" t="s">
        <v>928</v>
      </c>
      <c r="V483" s="278" t="s">
        <v>1</v>
      </c>
      <c r="X483" s="67">
        <f>$TA$634</f>
        <v>265.3</v>
      </c>
      <c r="Y483" s="332" t="s">
        <v>928</v>
      </c>
      <c r="Z483" s="278" t="s">
        <v>2015</v>
      </c>
      <c r="AB483" s="67">
        <f>$VL$640</f>
        <v>122.75</v>
      </c>
      <c r="AC483" s="332" t="s">
        <v>928</v>
      </c>
      <c r="AD483" s="278" t="s">
        <v>2057</v>
      </c>
      <c r="AF483" s="67">
        <f>$AAZ$646</f>
        <v>103</v>
      </c>
      <c r="AG483" s="332" t="s">
        <v>928</v>
      </c>
      <c r="AH483" s="63" t="s">
        <v>778</v>
      </c>
      <c r="AJ483" s="67">
        <f>$GX$652</f>
        <v>33</v>
      </c>
      <c r="AK483" s="332" t="s">
        <v>928</v>
      </c>
      <c r="AL483" s="63" t="s">
        <v>3388</v>
      </c>
      <c r="AN483" s="67">
        <f>$AMK$658</f>
        <v>32.4</v>
      </c>
      <c r="AO483" s="332" t="s">
        <v>928</v>
      </c>
      <c r="AP483" s="63" t="s">
        <v>3382</v>
      </c>
      <c r="AR483" s="67">
        <f>$AKI$664</f>
        <v>0</v>
      </c>
      <c r="AS483" s="332" t="s">
        <v>928</v>
      </c>
      <c r="AT483" s="278" t="s">
        <v>2007</v>
      </c>
      <c r="AV483" s="67">
        <f>$WM$670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3407</v>
      </c>
      <c r="D484" s="67">
        <f>$ANL$604</f>
        <v>1877.3500000000001</v>
      </c>
      <c r="E484" s="332" t="s">
        <v>929</v>
      </c>
      <c r="F484" s="278" t="s">
        <v>143</v>
      </c>
      <c r="H484" s="67">
        <f>$CT$610</f>
        <v>553.20000000000005</v>
      </c>
      <c r="I484" s="332" t="s">
        <v>929</v>
      </c>
      <c r="J484" s="278" t="s">
        <v>17</v>
      </c>
      <c r="L484" s="67">
        <f>$DL$616</f>
        <v>681.4</v>
      </c>
      <c r="M484" s="332" t="s">
        <v>929</v>
      </c>
      <c r="N484" s="63" t="s">
        <v>734</v>
      </c>
      <c r="P484" s="67">
        <f>$LK$622</f>
        <v>509.40000000000009</v>
      </c>
      <c r="Q484" s="332" t="s">
        <v>929</v>
      </c>
      <c r="R484" s="278" t="s">
        <v>1</v>
      </c>
      <c r="T484" s="67">
        <f>$TA$628</f>
        <v>267.39999999999998</v>
      </c>
      <c r="U484" s="332" t="s">
        <v>929</v>
      </c>
      <c r="V484" s="278" t="s">
        <v>3373</v>
      </c>
      <c r="X484" s="67">
        <f>$AHF$634</f>
        <v>254.79999999999998</v>
      </c>
      <c r="Y484" s="332" t="s">
        <v>929</v>
      </c>
      <c r="Z484" s="63" t="s">
        <v>782</v>
      </c>
      <c r="AB484" s="67">
        <f>$QG$640</f>
        <v>111.90000000000002</v>
      </c>
      <c r="AC484" s="332" t="s">
        <v>929</v>
      </c>
      <c r="AD484" s="278" t="s">
        <v>4520</v>
      </c>
      <c r="AF484" s="67">
        <f>$XW$646</f>
        <v>101.6</v>
      </c>
      <c r="AG484" s="332" t="s">
        <v>929</v>
      </c>
      <c r="AH484" s="63" t="s">
        <v>734</v>
      </c>
      <c r="AJ484" s="67">
        <f>$LK$652</f>
        <v>31.6</v>
      </c>
      <c r="AK484" s="332" t="s">
        <v>929</v>
      </c>
      <c r="AL484" s="63" t="s">
        <v>153</v>
      </c>
      <c r="AN484" s="67">
        <f>$KA$658</f>
        <v>26.3</v>
      </c>
      <c r="AO484" s="332" t="s">
        <v>929</v>
      </c>
      <c r="AP484" s="63" t="s">
        <v>3378</v>
      </c>
      <c r="AR484" s="67">
        <f>$AIY$664</f>
        <v>0</v>
      </c>
      <c r="AS484" s="332" t="s">
        <v>929</v>
      </c>
      <c r="AT484" s="63" t="s">
        <v>788</v>
      </c>
      <c r="AV484" s="67">
        <f>$OE$670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63" t="s">
        <v>771</v>
      </c>
      <c r="D485" s="67">
        <f>$MU$604</f>
        <v>1776.6000000000001</v>
      </c>
      <c r="E485" s="332" t="s">
        <v>930</v>
      </c>
      <c r="F485" s="278" t="s">
        <v>4520</v>
      </c>
      <c r="H485" s="67">
        <f>$XW$610</f>
        <v>481.59999999999997</v>
      </c>
      <c r="I485" s="332" t="s">
        <v>930</v>
      </c>
      <c r="J485" s="219" t="s">
        <v>1644</v>
      </c>
      <c r="L485" s="67">
        <f>$UT$616</f>
        <v>673.4</v>
      </c>
      <c r="M485" s="332" t="s">
        <v>930</v>
      </c>
      <c r="N485" s="63" t="s">
        <v>755</v>
      </c>
      <c r="P485" s="67">
        <f>$OW$622</f>
        <v>506.09999999999997</v>
      </c>
      <c r="Q485" s="332" t="s">
        <v>930</v>
      </c>
      <c r="R485" s="63" t="s">
        <v>755</v>
      </c>
      <c r="T485" s="67">
        <f>$OW$628</f>
        <v>263.29999999999995</v>
      </c>
      <c r="U485" s="332" t="s">
        <v>930</v>
      </c>
      <c r="V485" s="219" t="s">
        <v>1644</v>
      </c>
      <c r="X485" s="67">
        <f>$UT$634</f>
        <v>243.3</v>
      </c>
      <c r="Y485" s="332" t="s">
        <v>930</v>
      </c>
      <c r="Z485" s="278" t="s">
        <v>2054</v>
      </c>
      <c r="AB485" s="67">
        <f>$AAH$640</f>
        <v>107.4</v>
      </c>
      <c r="AC485" s="332" t="s">
        <v>930</v>
      </c>
      <c r="AD485" s="278" t="s">
        <v>2028</v>
      </c>
      <c r="AF485" s="67">
        <f>$AAQ$646</f>
        <v>99.9</v>
      </c>
      <c r="AG485" s="332" t="s">
        <v>930</v>
      </c>
      <c r="AH485" s="63" t="s">
        <v>3407</v>
      </c>
      <c r="AJ485" s="67">
        <f>$ANL$652</f>
        <v>28.6</v>
      </c>
      <c r="AK485" s="332" t="s">
        <v>930</v>
      </c>
      <c r="AL485" s="63" t="s">
        <v>788</v>
      </c>
      <c r="AN485" s="67">
        <f>$OE$658</f>
        <v>23.2</v>
      </c>
      <c r="AO485" s="332" t="s">
        <v>930</v>
      </c>
      <c r="AP485" s="63" t="s">
        <v>738</v>
      </c>
      <c r="AR485" s="67">
        <f>$JI$664</f>
        <v>0</v>
      </c>
      <c r="AS485" s="332" t="s">
        <v>930</v>
      </c>
      <c r="AT485" s="63" t="s">
        <v>3377</v>
      </c>
      <c r="AV485" s="67">
        <f>$AIP$670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2057</v>
      </c>
      <c r="D486" s="67">
        <f>$AAZ$604</f>
        <v>1772.5</v>
      </c>
      <c r="E486" s="332" t="s">
        <v>931</v>
      </c>
      <c r="F486" s="278" t="s">
        <v>2011</v>
      </c>
      <c r="H486" s="67">
        <f>$VU$610</f>
        <v>331.9</v>
      </c>
      <c r="I486" s="332" t="s">
        <v>931</v>
      </c>
      <c r="J486" s="278" t="s">
        <v>13</v>
      </c>
      <c r="L486" s="67">
        <f>$NV$616</f>
        <v>622.19999999999993</v>
      </c>
      <c r="M486" s="332" t="s">
        <v>931</v>
      </c>
      <c r="N486" s="278" t="s">
        <v>2056</v>
      </c>
      <c r="P486" s="67">
        <f>$ABR$622</f>
        <v>476.2</v>
      </c>
      <c r="Q486" s="332" t="s">
        <v>931</v>
      </c>
      <c r="R486" s="63" t="s">
        <v>788</v>
      </c>
      <c r="T486" s="67">
        <f>$OE$628</f>
        <v>262.29999999999995</v>
      </c>
      <c r="U486" s="332" t="s">
        <v>931</v>
      </c>
      <c r="V486" s="63" t="s">
        <v>180</v>
      </c>
      <c r="X486" s="67">
        <f>$AOD$634</f>
        <v>236.4</v>
      </c>
      <c r="Y486" s="332" t="s">
        <v>931</v>
      </c>
      <c r="Z486" s="278" t="s">
        <v>2030</v>
      </c>
      <c r="AB486" s="67">
        <f>$ACA$640</f>
        <v>100.70000000000002</v>
      </c>
      <c r="AC486" s="332" t="s">
        <v>931</v>
      </c>
      <c r="AD486" s="278" t="s">
        <v>27</v>
      </c>
      <c r="AF486" s="67">
        <f>$MC$646</f>
        <v>81.599999999999994</v>
      </c>
      <c r="AG486" s="332" t="s">
        <v>931</v>
      </c>
      <c r="AH486" s="63" t="s">
        <v>733</v>
      </c>
      <c r="AJ486" s="67">
        <f>$HG$652</f>
        <v>24.9</v>
      </c>
      <c r="AK486" s="332" t="s">
        <v>931</v>
      </c>
      <c r="AL486" s="63" t="s">
        <v>764</v>
      </c>
      <c r="AN486" s="67">
        <f>$JR$658</f>
        <v>21</v>
      </c>
      <c r="AO486" s="332" t="s">
        <v>931</v>
      </c>
      <c r="AP486" s="63" t="s">
        <v>748</v>
      </c>
      <c r="AR486" s="67">
        <f>$GO$664</f>
        <v>0</v>
      </c>
      <c r="AS486" s="332" t="s">
        <v>931</v>
      </c>
      <c r="AT486" s="278" t="s">
        <v>3373</v>
      </c>
      <c r="AV486" s="67">
        <f>$AHF$670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2056</v>
      </c>
      <c r="D487" s="67">
        <f>$ABR$604</f>
        <v>1727</v>
      </c>
      <c r="E487" s="332" t="s">
        <v>932</v>
      </c>
      <c r="F487" s="63" t="s">
        <v>763</v>
      </c>
      <c r="H487" s="67">
        <f>$NM$610</f>
        <v>324.60000000000002</v>
      </c>
      <c r="I487" s="332" t="s">
        <v>932</v>
      </c>
      <c r="J487" s="278" t="s">
        <v>2030</v>
      </c>
      <c r="L487" s="67">
        <f>$ACA$616</f>
        <v>605.6</v>
      </c>
      <c r="M487" s="332" t="s">
        <v>932</v>
      </c>
      <c r="N487" s="63" t="s">
        <v>788</v>
      </c>
      <c r="P487" s="67">
        <f>$OE$622</f>
        <v>438.2</v>
      </c>
      <c r="Q487" s="332" t="s">
        <v>932</v>
      </c>
      <c r="R487" s="219" t="s">
        <v>1653</v>
      </c>
      <c r="T487" s="67">
        <f>$ML$628</f>
        <v>256.89999999999998</v>
      </c>
      <c r="U487" s="332" t="s">
        <v>932</v>
      </c>
      <c r="V487" s="278" t="s">
        <v>2007</v>
      </c>
      <c r="X487" s="67">
        <f>$WM$634</f>
        <v>223.5</v>
      </c>
      <c r="Y487" s="332" t="s">
        <v>932</v>
      </c>
      <c r="Z487" s="63" t="s">
        <v>788</v>
      </c>
      <c r="AB487" s="67">
        <f>$OE$640</f>
        <v>97.600000000000009</v>
      </c>
      <c r="AC487" s="332" t="s">
        <v>932</v>
      </c>
      <c r="AD487" s="219" t="s">
        <v>1657</v>
      </c>
      <c r="AF487" s="67">
        <f>$RH$646</f>
        <v>66.7</v>
      </c>
      <c r="AG487" s="332" t="s">
        <v>932</v>
      </c>
      <c r="AH487" s="63" t="s">
        <v>3379</v>
      </c>
      <c r="AJ487" s="67">
        <f>$AJH$652</f>
        <v>24</v>
      </c>
      <c r="AK487" s="332" t="s">
        <v>932</v>
      </c>
      <c r="AL487" s="63" t="s">
        <v>3403</v>
      </c>
      <c r="AN487" s="67">
        <f>$APN$658</f>
        <v>16.200000000000003</v>
      </c>
      <c r="AO487" s="332" t="s">
        <v>932</v>
      </c>
      <c r="AP487" s="63" t="s">
        <v>3385</v>
      </c>
      <c r="AR487" s="67">
        <f>$ALJ$664</f>
        <v>0</v>
      </c>
      <c r="AS487" s="332" t="s">
        <v>932</v>
      </c>
      <c r="AT487" s="278" t="s">
        <v>2030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1</v>
      </c>
      <c r="D488" s="67">
        <f>$TA$604</f>
        <v>1694.4</v>
      </c>
      <c r="E488" s="332" t="s">
        <v>933</v>
      </c>
      <c r="F488" s="63" t="s">
        <v>764</v>
      </c>
      <c r="H488" s="67">
        <f>$JR$610</f>
        <v>317.7</v>
      </c>
      <c r="I488" s="332" t="s">
        <v>933</v>
      </c>
      <c r="J488" s="63" t="s">
        <v>764</v>
      </c>
      <c r="L488" s="67">
        <f>$JR$616</f>
        <v>570.6</v>
      </c>
      <c r="M488" s="332" t="s">
        <v>933</v>
      </c>
      <c r="N488" s="278" t="s">
        <v>3373</v>
      </c>
      <c r="P488" s="67">
        <f>$AHF$622</f>
        <v>407.6</v>
      </c>
      <c r="Q488" s="332" t="s">
        <v>933</v>
      </c>
      <c r="R488" s="63" t="s">
        <v>3402</v>
      </c>
      <c r="T488" s="67">
        <f>$APE$628</f>
        <v>249.3</v>
      </c>
      <c r="U488" s="332" t="s">
        <v>933</v>
      </c>
      <c r="V488" s="278" t="s">
        <v>13</v>
      </c>
      <c r="X488" s="67">
        <f>$NV$634</f>
        <v>193.5</v>
      </c>
      <c r="Y488" s="332" t="s">
        <v>933</v>
      </c>
      <c r="Z488" s="278" t="s">
        <v>3374</v>
      </c>
      <c r="AB488" s="67">
        <f>$AHO$640</f>
        <v>76</v>
      </c>
      <c r="AC488" s="332" t="s">
        <v>933</v>
      </c>
      <c r="AD488" s="278" t="s">
        <v>2007</v>
      </c>
      <c r="AF488" s="67">
        <f>$WM$646</f>
        <v>66.400000000000006</v>
      </c>
      <c r="AG488" s="332" t="s">
        <v>933</v>
      </c>
      <c r="AH488" s="63" t="s">
        <v>3384</v>
      </c>
      <c r="AJ488" s="67">
        <f>$ALA$652</f>
        <v>23.200000000000003</v>
      </c>
      <c r="AK488" s="332" t="s">
        <v>933</v>
      </c>
      <c r="AL488" s="278" t="s">
        <v>2054</v>
      </c>
      <c r="AN488" s="67">
        <f>$AAH$658</f>
        <v>13.2</v>
      </c>
      <c r="AO488" s="332" t="s">
        <v>933</v>
      </c>
      <c r="AP488" s="63" t="s">
        <v>3407</v>
      </c>
      <c r="AR488" s="67">
        <f>$ANL$664</f>
        <v>0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63" t="s">
        <v>788</v>
      </c>
      <c r="D489" s="67">
        <f>$OE$604</f>
        <v>1457.7</v>
      </c>
      <c r="E489" s="332" t="s">
        <v>934</v>
      </c>
      <c r="F489" s="278" t="s">
        <v>2056</v>
      </c>
      <c r="H489" s="67">
        <f>$ABR$610</f>
        <v>291</v>
      </c>
      <c r="I489" s="332" t="s">
        <v>934</v>
      </c>
      <c r="J489" s="63" t="s">
        <v>3376</v>
      </c>
      <c r="L489" s="67">
        <f>$AIG$616</f>
        <v>478.4</v>
      </c>
      <c r="M489" s="332" t="s">
        <v>934</v>
      </c>
      <c r="N489" s="278" t="s">
        <v>2014</v>
      </c>
      <c r="P489" s="67">
        <f>$VC$622</f>
        <v>359.09999999999997</v>
      </c>
      <c r="Q489" s="332" t="s">
        <v>934</v>
      </c>
      <c r="R489" s="63" t="s">
        <v>757</v>
      </c>
      <c r="T489" s="67">
        <f>$LB$628</f>
        <v>202.10000000000002</v>
      </c>
      <c r="U489" s="332" t="s">
        <v>934</v>
      </c>
      <c r="V489" s="278" t="s">
        <v>2057</v>
      </c>
      <c r="X489" s="67">
        <f>$AAZ$634</f>
        <v>183.6</v>
      </c>
      <c r="Y489" s="332" t="s">
        <v>934</v>
      </c>
      <c r="Z489" s="63" t="s">
        <v>3403</v>
      </c>
      <c r="AB489" s="67">
        <f>$APN$640</f>
        <v>69.899999999999991</v>
      </c>
      <c r="AC489" s="332" t="s">
        <v>934</v>
      </c>
      <c r="AD489" s="278" t="s">
        <v>1</v>
      </c>
      <c r="AF489" s="67">
        <f>$TA$646</f>
        <v>63.7</v>
      </c>
      <c r="AG489" s="332" t="s">
        <v>934</v>
      </c>
      <c r="AH489" s="63" t="s">
        <v>3389</v>
      </c>
      <c r="AJ489" s="67">
        <f>$AMT$652</f>
        <v>13.3</v>
      </c>
      <c r="AK489" s="332" t="s">
        <v>934</v>
      </c>
      <c r="AL489" s="63" t="s">
        <v>3380</v>
      </c>
      <c r="AN489" s="67">
        <f>$AJQ$658</f>
        <v>2.7</v>
      </c>
      <c r="AO489" s="332" t="s">
        <v>934</v>
      </c>
      <c r="AP489" s="63" t="s">
        <v>782</v>
      </c>
      <c r="AR489" s="67">
        <f>$QG$664</f>
        <v>0</v>
      </c>
      <c r="AS489" s="332" t="s">
        <v>934</v>
      </c>
      <c r="AT489" s="63" t="s">
        <v>3389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278" t="s">
        <v>2011</v>
      </c>
      <c r="D490" s="67">
        <f>$VU$604</f>
        <v>1433.6</v>
      </c>
      <c r="E490" s="332" t="s">
        <v>935</v>
      </c>
      <c r="F490" s="63" t="s">
        <v>788</v>
      </c>
      <c r="H490" s="67">
        <f>$OE$610</f>
        <v>217.3</v>
      </c>
      <c r="I490" s="332" t="s">
        <v>935</v>
      </c>
      <c r="J490" s="278" t="s">
        <v>1</v>
      </c>
      <c r="L490" s="67">
        <f>$TA$616</f>
        <v>443.9</v>
      </c>
      <c r="M490" s="332" t="s">
        <v>935</v>
      </c>
      <c r="N490" s="278" t="s">
        <v>2007</v>
      </c>
      <c r="P490" s="67">
        <f>$WM$622</f>
        <v>334.9</v>
      </c>
      <c r="Q490" s="332" t="s">
        <v>935</v>
      </c>
      <c r="R490" s="278" t="s">
        <v>27</v>
      </c>
      <c r="T490" s="67">
        <f>$MC$628</f>
        <v>155.30000000000001</v>
      </c>
      <c r="U490" s="332" t="s">
        <v>935</v>
      </c>
      <c r="V490" s="63" t="s">
        <v>3389</v>
      </c>
      <c r="X490" s="67">
        <f>$AMT$634</f>
        <v>165</v>
      </c>
      <c r="Y490" s="332" t="s">
        <v>935</v>
      </c>
      <c r="Z490" s="278" t="s">
        <v>1</v>
      </c>
      <c r="AB490" s="67">
        <f>$TA$640</f>
        <v>51</v>
      </c>
      <c r="AC490" s="332" t="s">
        <v>935</v>
      </c>
      <c r="AD490" s="278" t="s">
        <v>15</v>
      </c>
      <c r="AF490" s="67">
        <f>$HY$646</f>
        <v>51.9</v>
      </c>
      <c r="AG490" s="332" t="s">
        <v>935</v>
      </c>
      <c r="AH490" s="278" t="s">
        <v>2029</v>
      </c>
      <c r="AJ490" s="67">
        <f>$ZP$652</f>
        <v>5.7</v>
      </c>
      <c r="AK490" s="332" t="s">
        <v>935</v>
      </c>
      <c r="AL490" s="278" t="s">
        <v>2056</v>
      </c>
      <c r="AN490" s="67">
        <f>$ABR$658</f>
        <v>0</v>
      </c>
      <c r="AO490" s="332" t="s">
        <v>935</v>
      </c>
      <c r="AP490" s="63" t="s">
        <v>180</v>
      </c>
      <c r="AR490" s="67">
        <f>$AOD$664</f>
        <v>0</v>
      </c>
      <c r="AS490" s="332" t="s">
        <v>935</v>
      </c>
      <c r="AT490" s="278" t="s">
        <v>2054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3386</v>
      </c>
      <c r="C494" s="63"/>
      <c r="D494" s="460">
        <f>'Punten per wedstrijd'!D733</f>
        <v>0</v>
      </c>
      <c r="E494" s="332" t="s">
        <v>0</v>
      </c>
      <c r="F494" s="278" t="s">
        <v>37</v>
      </c>
      <c r="G494" s="63"/>
      <c r="H494" s="460">
        <f>'Punten per wedstrijd'!D198</f>
        <v>4349.9000000000033</v>
      </c>
      <c r="I494" s="332" t="s">
        <v>0</v>
      </c>
      <c r="J494" s="278" t="s">
        <v>2056</v>
      </c>
      <c r="K494" s="63"/>
      <c r="L494" s="460">
        <f>'Punten per wedstrijd'!D393</f>
        <v>819.79999999999973</v>
      </c>
      <c r="M494" s="332" t="s">
        <v>0</v>
      </c>
      <c r="N494" s="278" t="s">
        <v>2022</v>
      </c>
      <c r="O494" s="63"/>
      <c r="P494" s="460">
        <f>'Punten per wedstrijd'!D546</f>
        <v>408.69999999999976</v>
      </c>
      <c r="Q494" s="332" t="s">
        <v>0</v>
      </c>
      <c r="R494" s="219" t="s">
        <v>1654</v>
      </c>
      <c r="S494" s="332"/>
      <c r="T494" s="460">
        <f>'Punten per wedstrijd'!D688</f>
        <v>27.300000000000114</v>
      </c>
      <c r="U494" s="332" t="s">
        <v>0</v>
      </c>
      <c r="V494" s="63" t="s">
        <v>3391</v>
      </c>
      <c r="W494" s="63"/>
      <c r="X494" s="460">
        <f>'Punten per wedstrijd'!D90</f>
        <v>4941.3000000000011</v>
      </c>
      <c r="Y494" s="332" t="s">
        <v>0</v>
      </c>
      <c r="Z494" s="63" t="s">
        <v>762</v>
      </c>
      <c r="AA494" s="63"/>
      <c r="AB494" s="460">
        <f>'Punten per wedstrijd'!D266</f>
        <v>735.90000000000009</v>
      </c>
      <c r="AC494" s="332" t="s">
        <v>0</v>
      </c>
      <c r="AD494" s="63" t="s">
        <v>3390</v>
      </c>
      <c r="AE494" s="63"/>
      <c r="AF494" s="460">
        <f>'Punten per wedstrijd'!D487</f>
        <v>371.00000000000023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2014</v>
      </c>
      <c r="C495" s="63"/>
      <c r="D495" s="460">
        <f>'Punten per wedstrijd'!D734</f>
        <v>0</v>
      </c>
      <c r="E495" s="332" t="s">
        <v>2</v>
      </c>
      <c r="F495" s="63" t="s">
        <v>779</v>
      </c>
      <c r="G495" s="63"/>
      <c r="H495" s="460">
        <f>'Punten per wedstrijd'!D181</f>
        <v>4293.6000000000004</v>
      </c>
      <c r="I495" s="332" t="s">
        <v>2</v>
      </c>
      <c r="J495" s="28" t="s">
        <v>143</v>
      </c>
      <c r="K495" s="63"/>
      <c r="L495" s="460">
        <f>'Punten per wedstrijd'!D407</f>
        <v>762.10000000000082</v>
      </c>
      <c r="M495" s="332" t="s">
        <v>2</v>
      </c>
      <c r="N495" s="63" t="s">
        <v>155</v>
      </c>
      <c r="O495" s="63"/>
      <c r="P495" s="460">
        <f>'Punten per wedstrijd'!D621</f>
        <v>373.89999999999975</v>
      </c>
      <c r="Q495" s="332" t="s">
        <v>2</v>
      </c>
      <c r="R495" s="278" t="s">
        <v>3373</v>
      </c>
      <c r="S495" s="332"/>
      <c r="T495" s="460">
        <f>'Punten per wedstrijd'!D677</f>
        <v>27.299999999999887</v>
      </c>
      <c r="U495" s="332" t="s">
        <v>2</v>
      </c>
      <c r="V495" s="63" t="s">
        <v>3389</v>
      </c>
      <c r="W495" s="63"/>
      <c r="X495" s="460">
        <f>'Punten per wedstrijd'!D60</f>
        <v>4365.0500000000011</v>
      </c>
      <c r="Y495" s="332" t="s">
        <v>2</v>
      </c>
      <c r="Z495" s="219" t="s">
        <v>1659</v>
      </c>
      <c r="AA495" s="63"/>
      <c r="AB495" s="460">
        <f>'Punten per wedstrijd'!D308</f>
        <v>675.69999999999993</v>
      </c>
      <c r="AC495" s="332" t="s">
        <v>2</v>
      </c>
      <c r="AD495" s="63" t="s">
        <v>790</v>
      </c>
      <c r="AE495" s="63"/>
      <c r="AF495" s="460">
        <f>'Punten per wedstrijd'!D505</f>
        <v>367.59999999999906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60">
        <f>'Punten per wedstrijd'!D735</f>
        <v>0</v>
      </c>
      <c r="E496" s="332" t="s">
        <v>3</v>
      </c>
      <c r="F496" s="63" t="s">
        <v>141</v>
      </c>
      <c r="G496" s="63"/>
      <c r="H496" s="460">
        <f>'Punten per wedstrijd'!D156</f>
        <v>4201.6999999999989</v>
      </c>
      <c r="I496" s="332" t="s">
        <v>3</v>
      </c>
      <c r="J496" s="278" t="s">
        <v>31</v>
      </c>
      <c r="K496" s="63"/>
      <c r="L496" s="460">
        <f>'Punten per wedstrijd'!D400</f>
        <v>735.80000000000041</v>
      </c>
      <c r="M496" s="332" t="s">
        <v>3</v>
      </c>
      <c r="N496" s="278" t="s">
        <v>33</v>
      </c>
      <c r="O496" s="63"/>
      <c r="P496" s="460">
        <f>'Punten per wedstrijd'!D613</f>
        <v>327.79999999999916</v>
      </c>
      <c r="Q496" s="332" t="s">
        <v>3</v>
      </c>
      <c r="R496" s="63" t="s">
        <v>3403</v>
      </c>
      <c r="S496" s="332"/>
      <c r="T496" s="460">
        <f>'Punten per wedstrijd'!D723</f>
        <v>23.1</v>
      </c>
      <c r="U496" s="332" t="s">
        <v>3</v>
      </c>
      <c r="V496" s="63" t="s">
        <v>3407</v>
      </c>
      <c r="W496" s="63"/>
      <c r="X496" s="460">
        <f>'Punten per wedstrijd'!D87</f>
        <v>4276.3999999999996</v>
      </c>
      <c r="Y496" s="332" t="s">
        <v>3</v>
      </c>
      <c r="Z496" s="63" t="s">
        <v>790</v>
      </c>
      <c r="AA496" s="63"/>
      <c r="AB496" s="460">
        <f>'Punten per wedstrijd'!D297</f>
        <v>662.80000000000018</v>
      </c>
      <c r="AC496" s="332" t="s">
        <v>3</v>
      </c>
      <c r="AD496" s="219" t="s">
        <v>1656</v>
      </c>
      <c r="AE496" s="63"/>
      <c r="AF496" s="460">
        <f>'Punten per wedstrijd'!D481</f>
        <v>332.19999999999942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2007</v>
      </c>
      <c r="C497" s="63"/>
      <c r="D497" s="460">
        <f>'Punten per wedstrijd'!D736</f>
        <v>0</v>
      </c>
      <c r="E497" s="332" t="s">
        <v>5</v>
      </c>
      <c r="F497" s="63" t="s">
        <v>749</v>
      </c>
      <c r="G497" s="63"/>
      <c r="H497" s="460">
        <f>'Punten per wedstrijd'!D183</f>
        <v>4122.6999999999989</v>
      </c>
      <c r="I497" s="332" t="s">
        <v>5</v>
      </c>
      <c r="J497" s="63" t="s">
        <v>9</v>
      </c>
      <c r="K497" s="63"/>
      <c r="L497" s="460">
        <f>'Punten per wedstrijd'!D337</f>
        <v>730.80000000000018</v>
      </c>
      <c r="M497" s="332" t="s">
        <v>5</v>
      </c>
      <c r="N497" s="63" t="s">
        <v>749</v>
      </c>
      <c r="O497" s="63"/>
      <c r="P497" s="460">
        <f>'Punten per wedstrijd'!D599</f>
        <v>320.89999999999935</v>
      </c>
      <c r="Q497" s="332" t="s">
        <v>5</v>
      </c>
      <c r="R497" s="63" t="s">
        <v>3386</v>
      </c>
      <c r="S497" s="332"/>
      <c r="T497" s="460">
        <f>'Punten per wedstrijd'!D629</f>
        <v>0</v>
      </c>
      <c r="U497" s="332" t="s">
        <v>5</v>
      </c>
      <c r="V497" s="63" t="s">
        <v>757</v>
      </c>
      <c r="W497" s="63"/>
      <c r="X497" s="460">
        <f>'Punten per wedstrijd'!D41</f>
        <v>4148.1000000000022</v>
      </c>
      <c r="Y497" s="332" t="s">
        <v>5</v>
      </c>
      <c r="Z497" s="28" t="s">
        <v>142</v>
      </c>
      <c r="AA497" s="63"/>
      <c r="AB497" s="460">
        <f>'Punten per wedstrijd'!D281</f>
        <v>649.49999999999989</v>
      </c>
      <c r="AC497" s="332" t="s">
        <v>5</v>
      </c>
      <c r="AD497" s="63" t="s">
        <v>3391</v>
      </c>
      <c r="AE497" s="63"/>
      <c r="AF497" s="460">
        <f>'Punten per wedstrijd'!D506</f>
        <v>290.10000000000031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60">
        <f>'Punten per wedstrijd'!D737</f>
        <v>0</v>
      </c>
      <c r="E498" s="332" t="s">
        <v>7</v>
      </c>
      <c r="F498" s="63" t="s">
        <v>733</v>
      </c>
      <c r="G498" s="63"/>
      <c r="H498" s="460">
        <f>'Punten per wedstrijd'!D188</f>
        <v>4121.6000000000004</v>
      </c>
      <c r="I498" s="332" t="s">
        <v>7</v>
      </c>
      <c r="J498" s="63" t="s">
        <v>3375</v>
      </c>
      <c r="K498" s="63"/>
      <c r="L498" s="460">
        <f>'Punten per wedstrijd'!D323</f>
        <v>714.30000000000018</v>
      </c>
      <c r="M498" s="332" t="s">
        <v>7</v>
      </c>
      <c r="N498" s="219" t="s">
        <v>1659</v>
      </c>
      <c r="O498" s="63"/>
      <c r="P498" s="460">
        <f>'Punten per wedstrijd'!D620</f>
        <v>298.09999999999911</v>
      </c>
      <c r="Q498" s="332" t="s">
        <v>7</v>
      </c>
      <c r="R498" s="278" t="s">
        <v>2014</v>
      </c>
      <c r="S498" s="332"/>
      <c r="T498" s="460">
        <f>'Punten per wedstrijd'!D630</f>
        <v>0</v>
      </c>
      <c r="U498" s="332" t="s">
        <v>7</v>
      </c>
      <c r="V498" s="63" t="s">
        <v>796</v>
      </c>
      <c r="W498" s="63"/>
      <c r="X498" s="460">
        <f>'Punten per wedstrijd'!D50</f>
        <v>4075.7999999999997</v>
      </c>
      <c r="Y498" s="332" t="s">
        <v>7</v>
      </c>
      <c r="Z498" s="219" t="s">
        <v>1647</v>
      </c>
      <c r="AA498" s="63"/>
      <c r="AB498" s="460">
        <f>'Punten per wedstrijd'!D218</f>
        <v>584.39999999999975</v>
      </c>
      <c r="AC498" s="332" t="s">
        <v>7</v>
      </c>
      <c r="AD498" s="28" t="s">
        <v>143</v>
      </c>
      <c r="AE498" s="63"/>
      <c r="AF498" s="460">
        <f>'Punten per wedstrijd'!D511</f>
        <v>288.49999999999869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60">
        <f>'Punten per wedstrijd'!D738</f>
        <v>0</v>
      </c>
      <c r="E499" s="332" t="s">
        <v>8</v>
      </c>
      <c r="F499" s="63" t="s">
        <v>154</v>
      </c>
      <c r="G499" s="63"/>
      <c r="H499" s="460">
        <f>'Punten per wedstrijd'!D174</f>
        <v>4076.3000000000015</v>
      </c>
      <c r="I499" s="332" t="s">
        <v>8</v>
      </c>
      <c r="J499" s="278" t="s">
        <v>2027</v>
      </c>
      <c r="K499" s="63"/>
      <c r="L499" s="460">
        <f>'Punten per wedstrijd'!D325</f>
        <v>709.29999999999939</v>
      </c>
      <c r="M499" s="332" t="s">
        <v>8</v>
      </c>
      <c r="N499" s="63" t="s">
        <v>778</v>
      </c>
      <c r="O499" s="63"/>
      <c r="P499" s="460">
        <f>'Punten per wedstrijd'!D589</f>
        <v>296.69999999999942</v>
      </c>
      <c r="Q499" s="332" t="s">
        <v>8</v>
      </c>
      <c r="R499" s="219" t="s">
        <v>1657</v>
      </c>
      <c r="S499" s="332"/>
      <c r="T499" s="460">
        <f>'Punten per wedstrijd'!D631</f>
        <v>0</v>
      </c>
      <c r="U499" s="332" t="s">
        <v>8</v>
      </c>
      <c r="V499" s="63" t="s">
        <v>3383</v>
      </c>
      <c r="W499" s="63"/>
      <c r="X499" s="460">
        <f>'Punten per wedstrijd'!D55</f>
        <v>4071.3999999999978</v>
      </c>
      <c r="Y499" s="332" t="s">
        <v>8</v>
      </c>
      <c r="Z499" s="278" t="s">
        <v>11</v>
      </c>
      <c r="AA499" s="63"/>
      <c r="AB499" s="460">
        <f>'Punten per wedstrijd'!D235</f>
        <v>584.10000000000014</v>
      </c>
      <c r="AC499" s="332" t="s">
        <v>8</v>
      </c>
      <c r="AD499" s="278" t="s">
        <v>2031</v>
      </c>
      <c r="AE499" s="63"/>
      <c r="AF499" s="460">
        <f>'Punten per wedstrijd'!D472</f>
        <v>284.89999999999918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3375</v>
      </c>
      <c r="C500" s="63"/>
      <c r="D500" s="460">
        <f>'Punten per wedstrijd'!D739</f>
        <v>0</v>
      </c>
      <c r="E500" s="332" t="s">
        <v>10</v>
      </c>
      <c r="F500" s="63" t="s">
        <v>783</v>
      </c>
      <c r="G500" s="63"/>
      <c r="H500" s="460">
        <f>'Punten per wedstrijd'!D138</f>
        <v>4065.7000000000007</v>
      </c>
      <c r="I500" s="332" t="s">
        <v>10</v>
      </c>
      <c r="J500" s="63" t="s">
        <v>764</v>
      </c>
      <c r="K500" s="63"/>
      <c r="L500" s="460">
        <f>'Punten per wedstrijd'!D384</f>
        <v>687.80000000000018</v>
      </c>
      <c r="M500" s="332" t="s">
        <v>10</v>
      </c>
      <c r="N500" s="63" t="s">
        <v>800</v>
      </c>
      <c r="O500" s="63"/>
      <c r="P500" s="460">
        <f>'Punten per wedstrijd'!D568</f>
        <v>286.60000000000002</v>
      </c>
      <c r="Q500" s="332" t="s">
        <v>10</v>
      </c>
      <c r="R500" s="278" t="s">
        <v>2007</v>
      </c>
      <c r="S500" s="332"/>
      <c r="T500" s="460">
        <f>'Punten per wedstrijd'!D632</f>
        <v>0</v>
      </c>
      <c r="U500" s="332" t="s">
        <v>10</v>
      </c>
      <c r="V500" s="219" t="s">
        <v>1656</v>
      </c>
      <c r="W500" s="63"/>
      <c r="X500" s="460">
        <f>'Punten per wedstrijd'!D65</f>
        <v>4064.4999999999995</v>
      </c>
      <c r="Y500" s="332" t="s">
        <v>10</v>
      </c>
      <c r="Z500" s="278" t="s">
        <v>2010</v>
      </c>
      <c r="AA500" s="63"/>
      <c r="AB500" s="460">
        <f>'Punten per wedstrijd'!D227</f>
        <v>554.90000000000009</v>
      </c>
      <c r="AC500" s="332" t="s">
        <v>10</v>
      </c>
      <c r="AD500" s="278" t="s">
        <v>33</v>
      </c>
      <c r="AE500" s="63"/>
      <c r="AF500" s="460">
        <f>'Punten per wedstrijd'!D509</f>
        <v>283.10000000000008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0">
        <f>'Punten per wedstrijd'!D740</f>
        <v>0</v>
      </c>
      <c r="E501" s="332" t="s">
        <v>12</v>
      </c>
      <c r="F501" s="63" t="s">
        <v>9</v>
      </c>
      <c r="G501" s="63"/>
      <c r="H501" s="460">
        <f>'Punten per wedstrijd'!D129</f>
        <v>4060.1999999999966</v>
      </c>
      <c r="I501" s="332" t="s">
        <v>12</v>
      </c>
      <c r="J501" s="278" t="s">
        <v>2022</v>
      </c>
      <c r="K501" s="63"/>
      <c r="L501" s="460">
        <f>'Punten per wedstrijd'!D338</f>
        <v>686.69999999999982</v>
      </c>
      <c r="M501" s="332" t="s">
        <v>12</v>
      </c>
      <c r="N501" s="63" t="s">
        <v>746</v>
      </c>
      <c r="O501" s="63"/>
      <c r="P501" s="460">
        <f>'Punten per wedstrijd'!D587</f>
        <v>286.19999999999857</v>
      </c>
      <c r="Q501" s="332" t="s">
        <v>12</v>
      </c>
      <c r="R501" s="219" t="s">
        <v>1652</v>
      </c>
      <c r="S501" s="332"/>
      <c r="T501" s="460">
        <f>'Punten per wedstrijd'!D633</f>
        <v>0</v>
      </c>
      <c r="U501" s="332" t="s">
        <v>12</v>
      </c>
      <c r="V501" s="219" t="s">
        <v>1653</v>
      </c>
      <c r="W501" s="63"/>
      <c r="X501" s="460">
        <f>'Punten per wedstrijd'!D15</f>
        <v>3946.1000000000035</v>
      </c>
      <c r="Y501" s="332" t="s">
        <v>12</v>
      </c>
      <c r="Z501" s="63" t="s">
        <v>764</v>
      </c>
      <c r="AA501" s="63"/>
      <c r="AB501" s="460">
        <f>'Punten per wedstrijd'!D280</f>
        <v>549.40000000000009</v>
      </c>
      <c r="AC501" s="332" t="s">
        <v>12</v>
      </c>
      <c r="AD501" s="63" t="s">
        <v>728</v>
      </c>
      <c r="AE501" s="63"/>
      <c r="AF501" s="460">
        <f>'Punten per wedstrijd'!D447</f>
        <v>278.10000000000031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2027</v>
      </c>
      <c r="C502" s="63"/>
      <c r="D502" s="460">
        <f>'Punten per wedstrijd'!D741</f>
        <v>0</v>
      </c>
      <c r="E502" s="332" t="s">
        <v>14</v>
      </c>
      <c r="F502" s="63" t="s">
        <v>746</v>
      </c>
      <c r="G502" s="63"/>
      <c r="H502" s="460">
        <f>'Punten per wedstrijd'!D171</f>
        <v>4034.7000000000048</v>
      </c>
      <c r="I502" s="332" t="s">
        <v>14</v>
      </c>
      <c r="J502" s="63" t="s">
        <v>155</v>
      </c>
      <c r="K502" s="63"/>
      <c r="L502" s="460">
        <f>'Punten per wedstrijd'!D413</f>
        <v>684.09999999999945</v>
      </c>
      <c r="M502" s="332" t="s">
        <v>14</v>
      </c>
      <c r="N502" s="278" t="s">
        <v>2015</v>
      </c>
      <c r="O502" s="63"/>
      <c r="P502" s="460">
        <f>'Punten per wedstrijd'!D552</f>
        <v>269.59999999999889</v>
      </c>
      <c r="Q502" s="332" t="s">
        <v>14</v>
      </c>
      <c r="R502" s="219" t="s">
        <v>1647</v>
      </c>
      <c r="S502" s="332"/>
      <c r="T502" s="460">
        <f>'Punten per wedstrijd'!D634</f>
        <v>0</v>
      </c>
      <c r="U502" s="332" t="s">
        <v>14</v>
      </c>
      <c r="V502" s="63" t="s">
        <v>3382</v>
      </c>
      <c r="W502" s="63"/>
      <c r="X502" s="460">
        <f>'Punten per wedstrijd'!D59</f>
        <v>3927.0999999999995</v>
      </c>
      <c r="Y502" s="332" t="s">
        <v>14</v>
      </c>
      <c r="Z502" s="63" t="s">
        <v>800</v>
      </c>
      <c r="AA502" s="63"/>
      <c r="AB502" s="460">
        <f>'Punten per wedstrijd'!D256</f>
        <v>548.80000000000018</v>
      </c>
      <c r="AC502" s="332" t="s">
        <v>14</v>
      </c>
      <c r="AD502" s="278" t="s">
        <v>4520</v>
      </c>
      <c r="AE502" s="63"/>
      <c r="AF502" s="460">
        <f>'Punten per wedstrijd'!D465</f>
        <v>277.29999999999973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3394</v>
      </c>
      <c r="C503" s="63"/>
      <c r="D503" s="460">
        <f>'Punten per wedstrijd'!D742</f>
        <v>0</v>
      </c>
      <c r="E503" s="332" t="s">
        <v>16</v>
      </c>
      <c r="F503" s="63" t="s">
        <v>3394</v>
      </c>
      <c r="G503" s="63"/>
      <c r="H503" s="460">
        <f>'Punten per wedstrijd'!D118</f>
        <v>4017.6999999999971</v>
      </c>
      <c r="I503" s="332" t="s">
        <v>16</v>
      </c>
      <c r="J503" s="219" t="s">
        <v>1644</v>
      </c>
      <c r="K503" s="63"/>
      <c r="L503" s="460">
        <f>'Punten per wedstrijd'!D369</f>
        <v>681.99999999999989</v>
      </c>
      <c r="M503" s="332" t="s">
        <v>16</v>
      </c>
      <c r="N503" s="63" t="s">
        <v>3381</v>
      </c>
      <c r="O503" s="63"/>
      <c r="P503" s="460">
        <f>'Punten per wedstrijd'!D563</f>
        <v>267.20000000000027</v>
      </c>
      <c r="Q503" s="332" t="s">
        <v>16</v>
      </c>
      <c r="R503" s="63" t="s">
        <v>3375</v>
      </c>
      <c r="S503" s="332"/>
      <c r="T503" s="460">
        <f>'Punten per wedstrijd'!D635</f>
        <v>0</v>
      </c>
      <c r="U503" s="332" t="s">
        <v>16</v>
      </c>
      <c r="V503" s="63" t="s">
        <v>3390</v>
      </c>
      <c r="W503" s="63"/>
      <c r="X503" s="460">
        <f>'Punten per wedstrijd'!D71</f>
        <v>3894.0000000000009</v>
      </c>
      <c r="Y503" s="332" t="s">
        <v>16</v>
      </c>
      <c r="Z503" s="63" t="s">
        <v>153</v>
      </c>
      <c r="AA503" s="63"/>
      <c r="AB503" s="460">
        <f>'Punten per wedstrijd'!D229</f>
        <v>543.70000000000016</v>
      </c>
      <c r="AC503" s="332" t="s">
        <v>16</v>
      </c>
      <c r="AD503" s="63" t="s">
        <v>749</v>
      </c>
      <c r="AE503" s="63"/>
      <c r="AF503" s="460">
        <f>'Punten per wedstrijd'!D495</f>
        <v>275.79999999999961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60">
        <f>'Punten per wedstrijd'!D743</f>
        <v>0</v>
      </c>
      <c r="E504" s="332" t="s">
        <v>18</v>
      </c>
      <c r="F504" s="63" t="s">
        <v>155</v>
      </c>
      <c r="G504" s="63"/>
      <c r="H504" s="460">
        <f>'Punten per wedstrijd'!D205</f>
        <v>3981.9000000000015</v>
      </c>
      <c r="I504" s="332" t="s">
        <v>18</v>
      </c>
      <c r="J504" s="63" t="s">
        <v>3386</v>
      </c>
      <c r="K504" s="63"/>
      <c r="L504" s="460">
        <f>'Punten per wedstrijd'!D317</f>
        <v>677.2</v>
      </c>
      <c r="M504" s="332" t="s">
        <v>18</v>
      </c>
      <c r="N504" s="278" t="s">
        <v>2031</v>
      </c>
      <c r="O504" s="63"/>
      <c r="P504" s="460">
        <f>'Punten per wedstrijd'!D576</f>
        <v>257.10000000000048</v>
      </c>
      <c r="Q504" s="332" t="s">
        <v>18</v>
      </c>
      <c r="R504" s="278" t="s">
        <v>1</v>
      </c>
      <c r="S504" s="332"/>
      <c r="T504" s="460">
        <f>'Punten per wedstrijd'!D636</f>
        <v>0</v>
      </c>
      <c r="U504" s="332" t="s">
        <v>18</v>
      </c>
      <c r="V504" s="63" t="s">
        <v>3393</v>
      </c>
      <c r="W504" s="63"/>
      <c r="X504" s="460">
        <f>'Punten per wedstrijd'!D24</f>
        <v>3790.0000000000032</v>
      </c>
      <c r="Y504" s="332" t="s">
        <v>18</v>
      </c>
      <c r="Z504" s="278" t="s">
        <v>2161</v>
      </c>
      <c r="AA504" s="63"/>
      <c r="AB504" s="460">
        <f>'Punten per wedstrijd'!D290</f>
        <v>542.69999999999993</v>
      </c>
      <c r="AC504" s="332" t="s">
        <v>18</v>
      </c>
      <c r="AD504" s="219" t="s">
        <v>1653</v>
      </c>
      <c r="AE504" s="63"/>
      <c r="AF504" s="460">
        <f>'Punten per wedstrijd'!D431</f>
        <v>269.39999999999992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60">
        <f>'Punten per wedstrijd'!D744</f>
        <v>0</v>
      </c>
      <c r="E505" s="332" t="s">
        <v>20</v>
      </c>
      <c r="F505" s="219" t="s">
        <v>1660</v>
      </c>
      <c r="G505" s="63"/>
      <c r="H505" s="460">
        <f>'Punten per wedstrijd'!D179</f>
        <v>3941.5999999999949</v>
      </c>
      <c r="I505" s="332" t="s">
        <v>20</v>
      </c>
      <c r="J505" s="28" t="s">
        <v>21</v>
      </c>
      <c r="K505" s="63"/>
      <c r="L505" s="460">
        <f>'Punten per wedstrijd'!D363</f>
        <v>665.9</v>
      </c>
      <c r="M505" s="332" t="s">
        <v>20</v>
      </c>
      <c r="N505" s="219" t="s">
        <v>1655</v>
      </c>
      <c r="O505" s="63"/>
      <c r="P505" s="460">
        <f>'Punten per wedstrijd'!D550</f>
        <v>246.50000000000065</v>
      </c>
      <c r="Q505" s="332" t="s">
        <v>20</v>
      </c>
      <c r="R505" s="278" t="s">
        <v>2027</v>
      </c>
      <c r="S505" s="332"/>
      <c r="T505" s="460">
        <f>'Punten per wedstrijd'!D637</f>
        <v>0</v>
      </c>
      <c r="U505" s="332" t="s">
        <v>20</v>
      </c>
      <c r="V505" s="278" t="s">
        <v>2029</v>
      </c>
      <c r="W505" s="63"/>
      <c r="X505" s="460">
        <f>'Punten per wedstrijd'!D29</f>
        <v>3776.8000000000015</v>
      </c>
      <c r="Y505" s="332" t="s">
        <v>20</v>
      </c>
      <c r="Z505" s="278" t="s">
        <v>2007</v>
      </c>
      <c r="AA505" s="63"/>
      <c r="AB505" s="460">
        <f>'Punten per wedstrijd'!D216</f>
        <v>540.20000000000005</v>
      </c>
      <c r="AC505" s="332" t="s">
        <v>20</v>
      </c>
      <c r="AD505" s="219" t="s">
        <v>1657</v>
      </c>
      <c r="AE505" s="63"/>
      <c r="AF505" s="460">
        <f>'Punten per wedstrijd'!D423</f>
        <v>266.70000000000078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2057</v>
      </c>
      <c r="C506" s="63"/>
      <c r="D506" s="460">
        <f>'Punten per wedstrijd'!D745</f>
        <v>0</v>
      </c>
      <c r="E506" s="332" t="s">
        <v>22</v>
      </c>
      <c r="F506" s="63" t="s">
        <v>800</v>
      </c>
      <c r="G506" s="63"/>
      <c r="H506" s="460">
        <f>'Punten per wedstrijd'!D152</f>
        <v>3852.4999999999982</v>
      </c>
      <c r="I506" s="332" t="s">
        <v>22</v>
      </c>
      <c r="J506" s="278" t="s">
        <v>37</v>
      </c>
      <c r="K506" s="63"/>
      <c r="L506" s="460">
        <f>'Punten per wedstrijd'!D406</f>
        <v>663.29999999999927</v>
      </c>
      <c r="M506" s="332" t="s">
        <v>22</v>
      </c>
      <c r="N506" s="63" t="s">
        <v>734</v>
      </c>
      <c r="O506" s="63"/>
      <c r="P506" s="460">
        <f>'Punten per wedstrijd'!D556</f>
        <v>243.40000000000012</v>
      </c>
      <c r="Q506" s="332" t="s">
        <v>22</v>
      </c>
      <c r="R506" s="63" t="s">
        <v>3394</v>
      </c>
      <c r="S506" s="332"/>
      <c r="T506" s="460">
        <f>'Punten per wedstrijd'!D638</f>
        <v>0</v>
      </c>
      <c r="U506" s="332" t="s">
        <v>22</v>
      </c>
      <c r="V506" s="63" t="s">
        <v>3380</v>
      </c>
      <c r="W506" s="63"/>
      <c r="X506" s="460">
        <f>'Punten per wedstrijd'!D47</f>
        <v>3754.6000000000013</v>
      </c>
      <c r="Y506" s="332" t="s">
        <v>22</v>
      </c>
      <c r="Z506" s="219" t="s">
        <v>1662</v>
      </c>
      <c r="AA506" s="63"/>
      <c r="AB506" s="460">
        <f>'Punten per wedstrijd'!D304</f>
        <v>538.1</v>
      </c>
      <c r="AC506" s="332" t="s">
        <v>22</v>
      </c>
      <c r="AD506" s="278" t="s">
        <v>3374</v>
      </c>
      <c r="AE506" s="63"/>
      <c r="AF506" s="460">
        <f>'Punten per wedstrijd'!D519</f>
        <v>264.19999999999953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60">
        <f>'Punten per wedstrijd'!D746</f>
        <v>0</v>
      </c>
      <c r="E507" s="332" t="s">
        <v>24</v>
      </c>
      <c r="F507" s="28" t="s">
        <v>21</v>
      </c>
      <c r="G507" s="63"/>
      <c r="H507" s="460">
        <f>'Punten per wedstrijd'!D155</f>
        <v>3816.6999999999975</v>
      </c>
      <c r="I507" s="332" t="s">
        <v>24</v>
      </c>
      <c r="J507" s="278" t="s">
        <v>2031</v>
      </c>
      <c r="K507" s="63"/>
      <c r="L507" s="460">
        <f>'Punten per wedstrijd'!D368</f>
        <v>660.10000000000036</v>
      </c>
      <c r="M507" s="332" t="s">
        <v>24</v>
      </c>
      <c r="N507" s="278" t="s">
        <v>2028</v>
      </c>
      <c r="O507" s="63"/>
      <c r="P507" s="460">
        <f>'Punten per wedstrijd'!D542</f>
        <v>243.39999999999927</v>
      </c>
      <c r="Q507" s="332" t="s">
        <v>24</v>
      </c>
      <c r="R507" s="219" t="s">
        <v>1653</v>
      </c>
      <c r="S507" s="332"/>
      <c r="T507" s="460">
        <f>'Punten per wedstrijd'!D639</f>
        <v>0</v>
      </c>
      <c r="U507" s="332" t="s">
        <v>24</v>
      </c>
      <c r="V507" s="63" t="s">
        <v>153</v>
      </c>
      <c r="W507" s="63"/>
      <c r="X507" s="460">
        <f>'Punten per wedstrijd'!D21</f>
        <v>3718.599999999999</v>
      </c>
      <c r="Y507" s="332" t="s">
        <v>24</v>
      </c>
      <c r="Z507" s="63" t="s">
        <v>3390</v>
      </c>
      <c r="AA507" s="63"/>
      <c r="AB507" s="460">
        <f>'Punten per wedstrijd'!D279</f>
        <v>534.89999999999986</v>
      </c>
      <c r="AC507" s="332" t="s">
        <v>24</v>
      </c>
      <c r="AD507" s="278" t="s">
        <v>2028</v>
      </c>
      <c r="AE507" s="63"/>
      <c r="AF507" s="460">
        <f>'Punten per wedstrijd'!D438</f>
        <v>253.79999999999973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2010</v>
      </c>
      <c r="C508" s="63"/>
      <c r="D508" s="460">
        <f>'Punten per wedstrijd'!D747</f>
        <v>0</v>
      </c>
      <c r="E508" s="332" t="s">
        <v>26</v>
      </c>
      <c r="F508" s="63" t="s">
        <v>3406</v>
      </c>
      <c r="G508" s="63"/>
      <c r="H508" s="460">
        <f>'Punten per wedstrijd'!D148</f>
        <v>3814.7500000000018</v>
      </c>
      <c r="I508" s="332" t="s">
        <v>26</v>
      </c>
      <c r="J508" s="278" t="s">
        <v>2012</v>
      </c>
      <c r="K508" s="63"/>
      <c r="L508" s="460">
        <f>'Punten per wedstrijd'!D416</f>
        <v>656.50000000000057</v>
      </c>
      <c r="M508" s="332" t="s">
        <v>26</v>
      </c>
      <c r="N508" s="278" t="s">
        <v>25</v>
      </c>
      <c r="O508" s="63"/>
      <c r="P508" s="460">
        <f>'Punten per wedstrijd'!D583</f>
        <v>242.30000000000035</v>
      </c>
      <c r="Q508" s="332" t="s">
        <v>26</v>
      </c>
      <c r="R508" s="63" t="s">
        <v>771</v>
      </c>
      <c r="S508" s="332"/>
      <c r="T508" s="460">
        <f>'Punten per wedstrijd'!D640</f>
        <v>0</v>
      </c>
      <c r="U508" s="332" t="s">
        <v>26</v>
      </c>
      <c r="V508" s="278" t="s">
        <v>2012</v>
      </c>
      <c r="W508" s="63"/>
      <c r="X508" s="460">
        <f>'Punten per wedstrijd'!D104</f>
        <v>3705.5000000000036</v>
      </c>
      <c r="Y508" s="332" t="s">
        <v>26</v>
      </c>
      <c r="Z508" s="278" t="s">
        <v>15</v>
      </c>
      <c r="AA508" s="63"/>
      <c r="AB508" s="460">
        <f>'Punten per wedstrijd'!D245</f>
        <v>533.3000000000003</v>
      </c>
      <c r="AC508" s="332" t="s">
        <v>26</v>
      </c>
      <c r="AD508" s="278" t="s">
        <v>25</v>
      </c>
      <c r="AE508" s="63"/>
      <c r="AF508" s="460">
        <f>'Punten per wedstrijd'!D479</f>
        <v>252.2000000000001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3376</v>
      </c>
      <c r="C509" s="63"/>
      <c r="D509" s="460">
        <f>'Punten per wedstrijd'!D748</f>
        <v>0</v>
      </c>
      <c r="E509" s="332" t="s">
        <v>28</v>
      </c>
      <c r="F509" s="63" t="s">
        <v>778</v>
      </c>
      <c r="G509" s="63"/>
      <c r="H509" s="460">
        <f>'Punten per wedstrijd'!D173</f>
        <v>3751.3999999999996</v>
      </c>
      <c r="I509" s="332" t="s">
        <v>28</v>
      </c>
      <c r="J509" s="219" t="s">
        <v>1662</v>
      </c>
      <c r="K509" s="63"/>
      <c r="L509" s="460">
        <f>'Punten per wedstrijd'!D408</f>
        <v>652.29999999999973</v>
      </c>
      <c r="M509" s="332" t="s">
        <v>28</v>
      </c>
      <c r="N509" s="219" t="s">
        <v>1647</v>
      </c>
      <c r="O509" s="63"/>
      <c r="P509" s="460">
        <f>'Punten per wedstrijd'!D530</f>
        <v>238.00000000000034</v>
      </c>
      <c r="Q509" s="332" t="s">
        <v>28</v>
      </c>
      <c r="R509" s="278" t="s">
        <v>2057</v>
      </c>
      <c r="S509" s="332"/>
      <c r="T509" s="460">
        <f>'Punten per wedstrijd'!D641</f>
        <v>0</v>
      </c>
      <c r="U509" s="332" t="s">
        <v>28</v>
      </c>
      <c r="V509" s="63" t="s">
        <v>3405</v>
      </c>
      <c r="W509" s="63"/>
      <c r="X509" s="460">
        <f>'Punten per wedstrijd'!D76</f>
        <v>3636.1000000000022</v>
      </c>
      <c r="Y509" s="332" t="s">
        <v>28</v>
      </c>
      <c r="Z509" s="63" t="s">
        <v>788</v>
      </c>
      <c r="AA509" s="63"/>
      <c r="AB509" s="460">
        <f>'Punten per wedstrijd'!D226</f>
        <v>525</v>
      </c>
      <c r="AC509" s="332" t="s">
        <v>28</v>
      </c>
      <c r="AD509" s="219" t="s">
        <v>1643</v>
      </c>
      <c r="AE509" s="63"/>
      <c r="AF509" s="460">
        <f>'Punten per wedstrijd'!D462</f>
        <v>250.49999999999937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0">
        <f>'Punten per wedstrijd'!D749</f>
        <v>0</v>
      </c>
      <c r="E510" s="332" t="s">
        <v>30</v>
      </c>
      <c r="F510" s="278" t="s">
        <v>2010</v>
      </c>
      <c r="G510" s="63"/>
      <c r="H510" s="460">
        <f>'Punten per wedstrijd'!D123</f>
        <v>3716.5000000000005</v>
      </c>
      <c r="I510" s="332" t="s">
        <v>30</v>
      </c>
      <c r="J510" s="63" t="s">
        <v>3384</v>
      </c>
      <c r="K510" s="63"/>
      <c r="L510" s="460">
        <f>'Punten per wedstrijd'!D357</f>
        <v>642.80000000000007</v>
      </c>
      <c r="M510" s="332" t="s">
        <v>30</v>
      </c>
      <c r="N510" s="28" t="s">
        <v>21</v>
      </c>
      <c r="O510" s="63"/>
      <c r="P510" s="460">
        <f>'Punten per wedstrijd'!D571</f>
        <v>236.89999999999998</v>
      </c>
      <c r="Q510" s="332" t="s">
        <v>30</v>
      </c>
      <c r="R510" s="63" t="s">
        <v>788</v>
      </c>
      <c r="S510" s="332"/>
      <c r="T510" s="460">
        <f>'Punten per wedstrijd'!D642</f>
        <v>0</v>
      </c>
      <c r="U510" s="332" t="s">
        <v>30</v>
      </c>
      <c r="V510" s="63" t="s">
        <v>771</v>
      </c>
      <c r="W510" s="63"/>
      <c r="X510" s="460">
        <f>'Punten per wedstrijd'!D16</f>
        <v>3610.4999999999995</v>
      </c>
      <c r="Y510" s="332" t="s">
        <v>30</v>
      </c>
      <c r="Z510" s="219" t="s">
        <v>1656</v>
      </c>
      <c r="AA510" s="63"/>
      <c r="AB510" s="460">
        <f>'Punten per wedstrijd'!D273</f>
        <v>524.59999999999991</v>
      </c>
      <c r="AC510" s="332" t="s">
        <v>30</v>
      </c>
      <c r="AD510" s="63" t="s">
        <v>762</v>
      </c>
      <c r="AE510" s="63"/>
      <c r="AF510" s="460">
        <f>'Punten per wedstrijd'!D474</f>
        <v>248.60000000000099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2028</v>
      </c>
      <c r="C511" s="63"/>
      <c r="D511" s="460">
        <f>'Punten per wedstrijd'!D750</f>
        <v>0</v>
      </c>
      <c r="E511" s="332" t="s">
        <v>32</v>
      </c>
      <c r="F511" s="278" t="s">
        <v>31</v>
      </c>
      <c r="G511" s="63"/>
      <c r="H511" s="460">
        <f>'Punten per wedstrijd'!D192</f>
        <v>3688.3499999999931</v>
      </c>
      <c r="I511" s="332" t="s">
        <v>32</v>
      </c>
      <c r="J511" s="63" t="s">
        <v>749</v>
      </c>
      <c r="K511" s="63"/>
      <c r="L511" s="460">
        <f>'Punten per wedstrijd'!D391</f>
        <v>633.09999999999911</v>
      </c>
      <c r="M511" s="332" t="s">
        <v>32</v>
      </c>
      <c r="N511" s="63" t="s">
        <v>162</v>
      </c>
      <c r="O511" s="63"/>
      <c r="P511" s="460">
        <f>'Punten per wedstrijd'!D562</f>
        <v>235.49999999999983</v>
      </c>
      <c r="Q511" s="332" t="s">
        <v>32</v>
      </c>
      <c r="R511" s="278" t="s">
        <v>2010</v>
      </c>
      <c r="S511" s="332"/>
      <c r="T511" s="460">
        <f>'Punten per wedstrijd'!D643</f>
        <v>0</v>
      </c>
      <c r="U511" s="332" t="s">
        <v>32</v>
      </c>
      <c r="V511" s="63" t="s">
        <v>800</v>
      </c>
      <c r="W511" s="63"/>
      <c r="X511" s="460">
        <f>'Punten per wedstrijd'!D48</f>
        <v>3501.1</v>
      </c>
      <c r="Y511" s="332" t="s">
        <v>32</v>
      </c>
      <c r="Z511" s="63" t="s">
        <v>3385</v>
      </c>
      <c r="AA511" s="63"/>
      <c r="AB511" s="460">
        <f>'Punten per wedstrijd'!D291</f>
        <v>504.9</v>
      </c>
      <c r="AC511" s="332" t="s">
        <v>32</v>
      </c>
      <c r="AD511" s="63" t="s">
        <v>153</v>
      </c>
      <c r="AE511" s="63"/>
      <c r="AF511" s="460">
        <f>'Punten per wedstrijd'!D437</f>
        <v>246.39999999999912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3379</v>
      </c>
      <c r="C512" s="63"/>
      <c r="D512" s="460">
        <f>'Punten per wedstrijd'!D751</f>
        <v>0</v>
      </c>
      <c r="E512" s="332" t="s">
        <v>34</v>
      </c>
      <c r="F512" s="219" t="s">
        <v>1647</v>
      </c>
      <c r="G512" s="63"/>
      <c r="H512" s="460">
        <f>'Punten per wedstrijd'!D114</f>
        <v>3687.4999999999964</v>
      </c>
      <c r="I512" s="332" t="s">
        <v>34</v>
      </c>
      <c r="J512" s="278" t="s">
        <v>2010</v>
      </c>
      <c r="K512" s="63"/>
      <c r="L512" s="460">
        <f>'Punten per wedstrijd'!D331</f>
        <v>631.19999999999982</v>
      </c>
      <c r="M512" s="332" t="s">
        <v>34</v>
      </c>
      <c r="N512" s="63" t="s">
        <v>153</v>
      </c>
      <c r="O512" s="63"/>
      <c r="P512" s="460">
        <f>'Punten per wedstrijd'!D541</f>
        <v>235.20000000000041</v>
      </c>
      <c r="Q512" s="332" t="s">
        <v>34</v>
      </c>
      <c r="R512" s="63" t="s">
        <v>3376</v>
      </c>
      <c r="S512" s="332"/>
      <c r="T512" s="460">
        <f>'Punten per wedstrijd'!D644</f>
        <v>0</v>
      </c>
      <c r="U512" s="332" t="s">
        <v>34</v>
      </c>
      <c r="V512" s="278" t="s">
        <v>2010</v>
      </c>
      <c r="W512" s="63"/>
      <c r="X512" s="460">
        <f>'Punten per wedstrijd'!D19</f>
        <v>3442.700000000003</v>
      </c>
      <c r="Y512" s="332" t="s">
        <v>34</v>
      </c>
      <c r="Z512" s="278" t="s">
        <v>2012</v>
      </c>
      <c r="AA512" s="63"/>
      <c r="AB512" s="460">
        <f>'Punten per wedstrijd'!D312</f>
        <v>498.7000000000001</v>
      </c>
      <c r="AC512" s="332" t="s">
        <v>34</v>
      </c>
      <c r="AD512" s="63" t="s">
        <v>154</v>
      </c>
      <c r="AE512" s="63"/>
      <c r="AF512" s="460">
        <f>'Punten per wedstrijd'!D486</f>
        <v>235.70000000000036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3393</v>
      </c>
      <c r="C513" s="63"/>
      <c r="D513" s="460">
        <f>'Punten per wedstrijd'!D752</f>
        <v>0</v>
      </c>
      <c r="E513" s="332" t="s">
        <v>36</v>
      </c>
      <c r="F513" s="219" t="s">
        <v>1652</v>
      </c>
      <c r="G513" s="63"/>
      <c r="H513" s="460">
        <f>'Punten per wedstrijd'!D113</f>
        <v>3647.2999999999956</v>
      </c>
      <c r="I513" s="332" t="s">
        <v>36</v>
      </c>
      <c r="J513" s="63" t="s">
        <v>154</v>
      </c>
      <c r="K513" s="63"/>
      <c r="L513" s="460">
        <f>'Punten per wedstrijd'!D382</f>
        <v>624.39999999999964</v>
      </c>
      <c r="M513" s="332" t="s">
        <v>36</v>
      </c>
      <c r="N513" s="63" t="s">
        <v>763</v>
      </c>
      <c r="O513" s="63"/>
      <c r="P513" s="460">
        <f>'Punten per wedstrijd'!D581</f>
        <v>234.29999999999893</v>
      </c>
      <c r="Q513" s="332" t="s">
        <v>36</v>
      </c>
      <c r="R513" s="63" t="s">
        <v>153</v>
      </c>
      <c r="S513" s="332"/>
      <c r="T513" s="460">
        <f>'Punten per wedstrijd'!D645</f>
        <v>0</v>
      </c>
      <c r="U513" s="332" t="s">
        <v>36</v>
      </c>
      <c r="V513" s="63" t="s">
        <v>3381</v>
      </c>
      <c r="W513" s="63"/>
      <c r="X513" s="460">
        <f>'Punten per wedstrijd'!D43</f>
        <v>3402.1000000000004</v>
      </c>
      <c r="Y513" s="332" t="s">
        <v>36</v>
      </c>
      <c r="Z513" s="63" t="s">
        <v>3406</v>
      </c>
      <c r="AA513" s="63"/>
      <c r="AB513" s="460">
        <f>'Punten per wedstrijd'!D252</f>
        <v>498.39999999999975</v>
      </c>
      <c r="AC513" s="332" t="s">
        <v>36</v>
      </c>
      <c r="AD513" s="63" t="s">
        <v>796</v>
      </c>
      <c r="AE513" s="63"/>
      <c r="AF513" s="460">
        <f>'Punten per wedstrijd'!D466</f>
        <v>232.09999999999974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0">
        <f>'Punten per wedstrijd'!D753</f>
        <v>0</v>
      </c>
      <c r="E514" s="332" t="s">
        <v>38</v>
      </c>
      <c r="F514" s="278" t="s">
        <v>2012</v>
      </c>
      <c r="G514" s="63"/>
      <c r="H514" s="460">
        <f>'Punten per wedstrijd'!D208</f>
        <v>3638.0000000000023</v>
      </c>
      <c r="I514" s="332" t="s">
        <v>38</v>
      </c>
      <c r="J514" s="63" t="s">
        <v>3402</v>
      </c>
      <c r="K514" s="63"/>
      <c r="L514" s="460">
        <f>'Punten per wedstrijd'!D350</f>
        <v>620.19999999999982</v>
      </c>
      <c r="M514" s="332" t="s">
        <v>38</v>
      </c>
      <c r="N514" s="63" t="s">
        <v>733</v>
      </c>
      <c r="O514" s="63"/>
      <c r="P514" s="460">
        <f>'Punten per wedstrijd'!D604</f>
        <v>233.39999999999998</v>
      </c>
      <c r="Q514" s="332" t="s">
        <v>38</v>
      </c>
      <c r="R514" s="278" t="s">
        <v>2028</v>
      </c>
      <c r="S514" s="332"/>
      <c r="T514" s="460">
        <f>'Punten per wedstrijd'!D646</f>
        <v>0</v>
      </c>
      <c r="U514" s="332" t="s">
        <v>38</v>
      </c>
      <c r="V514" s="63" t="s">
        <v>3378</v>
      </c>
      <c r="W514" s="63"/>
      <c r="X514" s="460">
        <f>'Punten per wedstrijd'!D66</f>
        <v>3395.9000000000033</v>
      </c>
      <c r="Y514" s="332" t="s">
        <v>38</v>
      </c>
      <c r="Z514" s="63" t="s">
        <v>3387</v>
      </c>
      <c r="AA514" s="63"/>
      <c r="AB514" s="460">
        <f>'Punten per wedstrijd'!D241</f>
        <v>492.80000000000024</v>
      </c>
      <c r="AC514" s="332" t="s">
        <v>38</v>
      </c>
      <c r="AD514" s="278" t="s">
        <v>2011</v>
      </c>
      <c r="AE514" s="63"/>
      <c r="AF514" s="460">
        <f>'Punten per wedstrijd'!D455</f>
        <v>228.40000000000128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2022</v>
      </c>
      <c r="C515" s="63"/>
      <c r="D515" s="460">
        <f>'Punten per wedstrijd'!D754</f>
        <v>0</v>
      </c>
      <c r="E515" s="332" t="s">
        <v>145</v>
      </c>
      <c r="F515" s="278" t="s">
        <v>2029</v>
      </c>
      <c r="G515" s="63"/>
      <c r="H515" s="460">
        <f>'Punten per wedstrijd'!D133</f>
        <v>3627.8000000000006</v>
      </c>
      <c r="I515" s="332" t="s">
        <v>145</v>
      </c>
      <c r="J515" s="63" t="s">
        <v>748</v>
      </c>
      <c r="K515" s="63"/>
      <c r="L515" s="460">
        <f>'Punten per wedstrijd'!D392</f>
        <v>610.4000000000002</v>
      </c>
      <c r="M515" s="332" t="s">
        <v>145</v>
      </c>
      <c r="N515" s="219" t="s">
        <v>1654</v>
      </c>
      <c r="O515" s="63"/>
      <c r="P515" s="460">
        <f>'Punten per wedstrijd'!D584</f>
        <v>221.39999999999935</v>
      </c>
      <c r="Q515" s="332" t="s">
        <v>145</v>
      </c>
      <c r="R515" s="63" t="s">
        <v>3379</v>
      </c>
      <c r="S515" s="332"/>
      <c r="T515" s="460">
        <f>'Punten per wedstrijd'!D647</f>
        <v>0</v>
      </c>
      <c r="U515" s="332" t="s">
        <v>145</v>
      </c>
      <c r="V515" s="63" t="s">
        <v>738</v>
      </c>
      <c r="W515" s="63"/>
      <c r="X515" s="460">
        <f>'Punten per wedstrijd'!D74</f>
        <v>3387.0999999999981</v>
      </c>
      <c r="Y515" s="332" t="s">
        <v>145</v>
      </c>
      <c r="Z515" s="278" t="s">
        <v>2028</v>
      </c>
      <c r="AA515" s="63"/>
      <c r="AB515" s="460">
        <f>'Punten per wedstrijd'!D230</f>
        <v>490.19999999999959</v>
      </c>
      <c r="AC515" s="332" t="s">
        <v>145</v>
      </c>
      <c r="AD515" s="278" t="s">
        <v>2022</v>
      </c>
      <c r="AE515" s="63"/>
      <c r="AF515" s="460">
        <f>'Punten per wedstrijd'!D442</f>
        <v>227.19999999999979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0">
        <f>'Punten per wedstrijd'!D755</f>
        <v>0</v>
      </c>
      <c r="E516" s="332" t="s">
        <v>146</v>
      </c>
      <c r="F516" s="278" t="s">
        <v>2027</v>
      </c>
      <c r="G516" s="63"/>
      <c r="H516" s="460">
        <f>'Punten per wedstrijd'!D117</f>
        <v>3621.3000000000015</v>
      </c>
      <c r="I516" s="332" t="s">
        <v>146</v>
      </c>
      <c r="J516" s="63" t="s">
        <v>180</v>
      </c>
      <c r="K516" s="63"/>
      <c r="L516" s="460">
        <f>'Punten per wedstrijd'!D410</f>
        <v>605.20000000000005</v>
      </c>
      <c r="M516" s="332" t="s">
        <v>146</v>
      </c>
      <c r="N516" s="278" t="s">
        <v>2030</v>
      </c>
      <c r="O516" s="63"/>
      <c r="P516" s="460">
        <f>'Punten per wedstrijd'!D574</f>
        <v>219.20000000000005</v>
      </c>
      <c r="Q516" s="332" t="s">
        <v>146</v>
      </c>
      <c r="R516" s="63" t="s">
        <v>3393</v>
      </c>
      <c r="S516" s="332"/>
      <c r="T516" s="460">
        <f>'Punten per wedstrijd'!D648</f>
        <v>0</v>
      </c>
      <c r="U516" s="332" t="s">
        <v>146</v>
      </c>
      <c r="V516" s="219" t="s">
        <v>1657</v>
      </c>
      <c r="W516" s="63"/>
      <c r="X516" s="460">
        <f>'Punten per wedstrijd'!D7</f>
        <v>3364.7999999999993</v>
      </c>
      <c r="Y516" s="332" t="s">
        <v>146</v>
      </c>
      <c r="Z516" s="219" t="s">
        <v>1657</v>
      </c>
      <c r="AA516" s="63"/>
      <c r="AB516" s="460">
        <f>'Punten per wedstrijd'!D215</f>
        <v>490.19999999999953</v>
      </c>
      <c r="AC516" s="332" t="s">
        <v>146</v>
      </c>
      <c r="AD516" s="278" t="s">
        <v>2012</v>
      </c>
      <c r="AE516" s="63"/>
      <c r="AF516" s="460">
        <f>'Punten per wedstrijd'!D520</f>
        <v>225.60000000000011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3377</v>
      </c>
      <c r="C517" s="63"/>
      <c r="D517" s="460">
        <f>'Punten per wedstrijd'!D756</f>
        <v>0</v>
      </c>
      <c r="E517" s="332" t="s">
        <v>147</v>
      </c>
      <c r="F517" s="219" t="s">
        <v>1662</v>
      </c>
      <c r="G517" s="63"/>
      <c r="H517" s="460">
        <f>'Punten per wedstrijd'!D200</f>
        <v>3600.4000000000028</v>
      </c>
      <c r="I517" s="332" t="s">
        <v>147</v>
      </c>
      <c r="J517" s="63" t="s">
        <v>778</v>
      </c>
      <c r="K517" s="63"/>
      <c r="L517" s="460">
        <f>'Punten per wedstrijd'!D381</f>
        <v>604.69999999999948</v>
      </c>
      <c r="M517" s="332" t="s">
        <v>147</v>
      </c>
      <c r="N517" s="63" t="s">
        <v>3390</v>
      </c>
      <c r="O517" s="63"/>
      <c r="P517" s="460">
        <f>'Punten per wedstrijd'!D591</f>
        <v>218.39999999999853</v>
      </c>
      <c r="Q517" s="332" t="s">
        <v>147</v>
      </c>
      <c r="R517" s="63" t="s">
        <v>9</v>
      </c>
      <c r="S517" s="332"/>
      <c r="T517" s="460">
        <f>'Punten per wedstrijd'!D649</f>
        <v>0</v>
      </c>
      <c r="U517" s="332" t="s">
        <v>147</v>
      </c>
      <c r="V517" s="63" t="s">
        <v>162</v>
      </c>
      <c r="W517" s="63"/>
      <c r="X517" s="460">
        <f>'Punten per wedstrijd'!D42</f>
        <v>3358.9999999999945</v>
      </c>
      <c r="Y517" s="332" t="s">
        <v>147</v>
      </c>
      <c r="Z517" s="63" t="s">
        <v>155</v>
      </c>
      <c r="AA517" s="63"/>
      <c r="AB517" s="460">
        <f>'Punten per wedstrijd'!D309</f>
        <v>488.1</v>
      </c>
      <c r="AC517" s="332" t="s">
        <v>147</v>
      </c>
      <c r="AD517" s="219" t="s">
        <v>1652</v>
      </c>
      <c r="AE517" s="63"/>
      <c r="AF517" s="460">
        <f>'Punten per wedstrijd'!D425</f>
        <v>224.99999999999972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2029</v>
      </c>
      <c r="C518" s="63"/>
      <c r="D518" s="460">
        <f>'Punten per wedstrijd'!D757</f>
        <v>0</v>
      </c>
      <c r="E518" s="332" t="s">
        <v>151</v>
      </c>
      <c r="F518" s="63" t="s">
        <v>3393</v>
      </c>
      <c r="G518" s="63"/>
      <c r="H518" s="460">
        <f>'Punten per wedstrijd'!D128</f>
        <v>3575.0999999999985</v>
      </c>
      <c r="I518" s="332" t="s">
        <v>151</v>
      </c>
      <c r="J518" s="278" t="s">
        <v>2011</v>
      </c>
      <c r="K518" s="63"/>
      <c r="L518" s="460">
        <f>'Punten per wedstrijd'!D351</f>
        <v>600.10000000000036</v>
      </c>
      <c r="M518" s="332" t="s">
        <v>151</v>
      </c>
      <c r="N518" s="278" t="s">
        <v>37</v>
      </c>
      <c r="O518" s="63"/>
      <c r="P518" s="460">
        <f>'Punten per wedstrijd'!D614</f>
        <v>216.79999999999976</v>
      </c>
      <c r="Q518" s="332" t="s">
        <v>151</v>
      </c>
      <c r="R518" s="278" t="s">
        <v>2022</v>
      </c>
      <c r="S518" s="332"/>
      <c r="T518" s="460">
        <f>'Punten per wedstrijd'!D650</f>
        <v>0</v>
      </c>
      <c r="U518" s="332" t="s">
        <v>151</v>
      </c>
      <c r="V518" s="278" t="s">
        <v>2022</v>
      </c>
      <c r="W518" s="63"/>
      <c r="X518" s="460">
        <f>'Punten per wedstrijd'!D26</f>
        <v>3350.0000000000009</v>
      </c>
      <c r="Y518" s="332" t="s">
        <v>151</v>
      </c>
      <c r="Z518" s="28" t="s">
        <v>21</v>
      </c>
      <c r="AA518" s="63"/>
      <c r="AB518" s="460">
        <f>'Punten per wedstrijd'!D259</f>
        <v>484.3</v>
      </c>
      <c r="AC518" s="332" t="s">
        <v>151</v>
      </c>
      <c r="AD518" s="278" t="s">
        <v>37</v>
      </c>
      <c r="AE518" s="63"/>
      <c r="AF518" s="460">
        <f>'Punten per wedstrijd'!D510</f>
        <v>221.80000000000132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60">
        <f>'Punten per wedstrijd'!D758</f>
        <v>0</v>
      </c>
      <c r="E519" s="332" t="s">
        <v>157</v>
      </c>
      <c r="F519" s="28" t="s">
        <v>142</v>
      </c>
      <c r="G519" s="63"/>
      <c r="H519" s="460">
        <f>'Punten per wedstrijd'!D177</f>
        <v>3569.9000000000005</v>
      </c>
      <c r="I519" s="332" t="s">
        <v>157</v>
      </c>
      <c r="J519" s="278" t="s">
        <v>2034</v>
      </c>
      <c r="K519" s="63"/>
      <c r="L519" s="460">
        <f>'Punten per wedstrijd'!D409</f>
        <v>598.1</v>
      </c>
      <c r="M519" s="332" t="s">
        <v>157</v>
      </c>
      <c r="N519" s="278" t="s">
        <v>17</v>
      </c>
      <c r="O519" s="63"/>
      <c r="P519" s="460">
        <f>'Punten per wedstrijd'!D560</f>
        <v>216.49999999999989</v>
      </c>
      <c r="Q519" s="332" t="s">
        <v>157</v>
      </c>
      <c r="R519" s="278" t="s">
        <v>11</v>
      </c>
      <c r="S519" s="332"/>
      <c r="T519" s="460">
        <f>'Punten per wedstrijd'!D651</f>
        <v>0</v>
      </c>
      <c r="U519" s="332" t="s">
        <v>157</v>
      </c>
      <c r="V519" s="63" t="s">
        <v>762</v>
      </c>
      <c r="W519" s="63"/>
      <c r="X519" s="460">
        <f>'Punten per wedstrijd'!D58</f>
        <v>3349.3000000000011</v>
      </c>
      <c r="Y519" s="332" t="s">
        <v>157</v>
      </c>
      <c r="Z519" s="278" t="s">
        <v>2015</v>
      </c>
      <c r="AA519" s="63"/>
      <c r="AB519" s="460">
        <f>'Punten per wedstrijd'!D240</f>
        <v>482.95000000000027</v>
      </c>
      <c r="AC519" s="332" t="s">
        <v>157</v>
      </c>
      <c r="AD519" s="63" t="s">
        <v>783</v>
      </c>
      <c r="AE519" s="63"/>
      <c r="AF519" s="460">
        <f>'Punten per wedstrijd'!D450</f>
        <v>220.39999999999966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60">
        <f>'Punten per wedstrijd'!D759</f>
        <v>0</v>
      </c>
      <c r="E520" s="332" t="s">
        <v>159</v>
      </c>
      <c r="F520" s="278" t="s">
        <v>2031</v>
      </c>
      <c r="G520" s="63"/>
      <c r="H520" s="460">
        <f>'Punten per wedstrijd'!D160</f>
        <v>3561.4999999999968</v>
      </c>
      <c r="I520" s="332" t="s">
        <v>159</v>
      </c>
      <c r="J520" s="63" t="s">
        <v>763</v>
      </c>
      <c r="K520" s="63"/>
      <c r="L520" s="460">
        <f>'Punten per wedstrijd'!D373</f>
        <v>585.79999999999984</v>
      </c>
      <c r="M520" s="332" t="s">
        <v>159</v>
      </c>
      <c r="N520" s="278" t="s">
        <v>2012</v>
      </c>
      <c r="O520" s="63"/>
      <c r="P520" s="460">
        <f>'Punten per wedstrijd'!D624</f>
        <v>215.10000000000122</v>
      </c>
      <c r="Q520" s="332" t="s">
        <v>159</v>
      </c>
      <c r="R520" s="63" t="s">
        <v>3377</v>
      </c>
      <c r="S520" s="332"/>
      <c r="T520" s="460">
        <f>'Punten per wedstrijd'!D652</f>
        <v>0</v>
      </c>
      <c r="U520" s="332" t="s">
        <v>159</v>
      </c>
      <c r="V520" s="278" t="s">
        <v>2027</v>
      </c>
      <c r="W520" s="63"/>
      <c r="X520" s="460">
        <f>'Punten per wedstrijd'!D13</f>
        <v>3333.6000000000022</v>
      </c>
      <c r="Y520" s="332" t="s">
        <v>159</v>
      </c>
      <c r="Z520" s="219" t="s">
        <v>1643</v>
      </c>
      <c r="AA520" s="63"/>
      <c r="AB520" s="460">
        <f>'Punten per wedstrijd'!D254</f>
        <v>479.5</v>
      </c>
      <c r="AC520" s="332" t="s">
        <v>159</v>
      </c>
      <c r="AD520" s="63" t="s">
        <v>3407</v>
      </c>
      <c r="AE520" s="63"/>
      <c r="AF520" s="460">
        <f>'Punten per wedstrijd'!D503</f>
        <v>218.2000000000001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2015</v>
      </c>
      <c r="C521" s="63"/>
      <c r="D521" s="460">
        <f>'Punten per wedstrijd'!D760</f>
        <v>0</v>
      </c>
      <c r="E521" s="332" t="s">
        <v>160</v>
      </c>
      <c r="F521" s="278" t="s">
        <v>2006</v>
      </c>
      <c r="G521" s="63"/>
      <c r="H521" s="460">
        <f>'Punten per wedstrijd'!D190</f>
        <v>3559.4000000000019</v>
      </c>
      <c r="I521" s="332" t="s">
        <v>160</v>
      </c>
      <c r="J521" s="63" t="s">
        <v>746</v>
      </c>
      <c r="K521" s="63"/>
      <c r="L521" s="460">
        <f>'Punten per wedstrijd'!D379</f>
        <v>581.40000000000009</v>
      </c>
      <c r="M521" s="332" t="s">
        <v>160</v>
      </c>
      <c r="N521" s="28" t="s">
        <v>142</v>
      </c>
      <c r="O521" s="63"/>
      <c r="P521" s="460">
        <f>'Punten per wedstrijd'!D593</f>
        <v>215.00000000000028</v>
      </c>
      <c r="Q521" s="332" t="s">
        <v>160</v>
      </c>
      <c r="R521" s="278" t="s">
        <v>2029</v>
      </c>
      <c r="S521" s="332"/>
      <c r="T521" s="460">
        <f>'Punten per wedstrijd'!D653</f>
        <v>0</v>
      </c>
      <c r="U521" s="332" t="s">
        <v>160</v>
      </c>
      <c r="V521" s="278" t="s">
        <v>23</v>
      </c>
      <c r="W521" s="63"/>
      <c r="X521" s="460">
        <f>'Punten per wedstrijd'!D62</f>
        <v>3303.7000000000012</v>
      </c>
      <c r="Y521" s="332" t="s">
        <v>160</v>
      </c>
      <c r="Z521" s="63" t="s">
        <v>3375</v>
      </c>
      <c r="AA521" s="63"/>
      <c r="AB521" s="460">
        <f>'Punten per wedstrijd'!D219</f>
        <v>468.59999999999968</v>
      </c>
      <c r="AC521" s="332" t="s">
        <v>160</v>
      </c>
      <c r="AD521" s="63" t="s">
        <v>738</v>
      </c>
      <c r="AE521" s="63"/>
      <c r="AF521" s="460">
        <f>'Punten per wedstrijd'!D490</f>
        <v>217.4000000000002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3387</v>
      </c>
      <c r="C522" s="63"/>
      <c r="D522" s="460">
        <f>'Punten per wedstrijd'!D761</f>
        <v>0</v>
      </c>
      <c r="E522" s="332" t="s">
        <v>161</v>
      </c>
      <c r="F522" s="63" t="s">
        <v>3403</v>
      </c>
      <c r="G522" s="63"/>
      <c r="H522" s="460">
        <f>'Punten per wedstrijd'!D203</f>
        <v>3471.1000000000022</v>
      </c>
      <c r="I522" s="332" t="s">
        <v>161</v>
      </c>
      <c r="J522" s="28" t="s">
        <v>142</v>
      </c>
      <c r="K522" s="63"/>
      <c r="L522" s="460">
        <f>'Punten per wedstrijd'!D385</f>
        <v>576.20000000000016</v>
      </c>
      <c r="M522" s="332" t="s">
        <v>161</v>
      </c>
      <c r="N522" s="63" t="s">
        <v>3394</v>
      </c>
      <c r="O522" s="63"/>
      <c r="P522" s="460">
        <f>'Punten per wedstrijd'!D534</f>
        <v>214.09999999999988</v>
      </c>
      <c r="Q522" s="332" t="s">
        <v>161</v>
      </c>
      <c r="R522" s="219" t="s">
        <v>1655</v>
      </c>
      <c r="S522" s="332"/>
      <c r="T522" s="460">
        <f>'Punten per wedstrijd'!D654</f>
        <v>0</v>
      </c>
      <c r="U522" s="332" t="s">
        <v>161</v>
      </c>
      <c r="V522" s="278" t="s">
        <v>3373</v>
      </c>
      <c r="W522" s="63"/>
      <c r="X522" s="460">
        <f>'Punten per wedstrijd'!D53</f>
        <v>3257.9000000000028</v>
      </c>
      <c r="Y522" s="332" t="s">
        <v>161</v>
      </c>
      <c r="Z522" s="63" t="s">
        <v>3383</v>
      </c>
      <c r="AA522" s="63"/>
      <c r="AB522" s="460">
        <f>'Punten per wedstrijd'!D263</f>
        <v>467.20000000000033</v>
      </c>
      <c r="AC522" s="332" t="s">
        <v>161</v>
      </c>
      <c r="AD522" s="28" t="s">
        <v>21</v>
      </c>
      <c r="AE522" s="63"/>
      <c r="AF522" s="460">
        <f>'Punten per wedstrijd'!D467</f>
        <v>216.89999999999932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60">
        <f>'Punten per wedstrijd'!D762</f>
        <v>0</v>
      </c>
      <c r="E523" s="332" t="s">
        <v>163</v>
      </c>
      <c r="F523" s="278" t="s">
        <v>15</v>
      </c>
      <c r="G523" s="63"/>
      <c r="H523" s="460">
        <f>'Punten per wedstrijd'!D141</f>
        <v>3449.8000000000006</v>
      </c>
      <c r="I523" s="332" t="s">
        <v>163</v>
      </c>
      <c r="J523" s="63" t="s">
        <v>3394</v>
      </c>
      <c r="K523" s="63"/>
      <c r="L523" s="460">
        <f>'Punten per wedstrijd'!D326</f>
        <v>575.9</v>
      </c>
      <c r="M523" s="332" t="s">
        <v>163</v>
      </c>
      <c r="N523" s="278" t="s">
        <v>4520</v>
      </c>
      <c r="O523" s="63"/>
      <c r="P523" s="460">
        <f>'Punten per wedstrijd'!D569</f>
        <v>213.2999999999995</v>
      </c>
      <c r="Q523" s="332" t="s">
        <v>163</v>
      </c>
      <c r="R523" s="63" t="s">
        <v>728</v>
      </c>
      <c r="S523" s="332"/>
      <c r="T523" s="460">
        <f>'Punten per wedstrijd'!D655</f>
        <v>0</v>
      </c>
      <c r="U523" s="332" t="s">
        <v>163</v>
      </c>
      <c r="V523" s="278" t="s">
        <v>3374</v>
      </c>
      <c r="W523" s="63"/>
      <c r="X523" s="460">
        <f>'Punten per wedstrijd'!D103</f>
        <v>3242.5999999999995</v>
      </c>
      <c r="Y523" s="332" t="s">
        <v>163</v>
      </c>
      <c r="Z523" s="278" t="s">
        <v>2057</v>
      </c>
      <c r="AA523" s="63"/>
      <c r="AB523" s="460">
        <f>'Punten per wedstrijd'!D225</f>
        <v>464.55</v>
      </c>
      <c r="AC523" s="332" t="s">
        <v>163</v>
      </c>
      <c r="AD523" s="278" t="s">
        <v>2015</v>
      </c>
      <c r="AE523" s="63"/>
      <c r="AF523" s="460">
        <f>'Punten per wedstrijd'!D448</f>
        <v>216.35000000000051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60">
        <f>'Punten per wedstrijd'!D763</f>
        <v>0</v>
      </c>
      <c r="E524" s="332" t="s">
        <v>275</v>
      </c>
      <c r="F524" s="63" t="s">
        <v>162</v>
      </c>
      <c r="G524" s="63"/>
      <c r="H524" s="460">
        <f>'Punten per wedstrijd'!D146</f>
        <v>3435.9999999999955</v>
      </c>
      <c r="I524" s="332" t="s">
        <v>275</v>
      </c>
      <c r="J524" s="219" t="s">
        <v>1647</v>
      </c>
      <c r="K524" s="63"/>
      <c r="L524" s="460">
        <f>'Punten per wedstrijd'!D322</f>
        <v>571.09999999999991</v>
      </c>
      <c r="M524" s="332" t="s">
        <v>275</v>
      </c>
      <c r="N524" s="63" t="s">
        <v>790</v>
      </c>
      <c r="O524" s="63"/>
      <c r="P524" s="460">
        <f>'Punten per wedstrijd'!D609</f>
        <v>212.99999999999929</v>
      </c>
      <c r="Q524" s="332" t="s">
        <v>275</v>
      </c>
      <c r="R524" s="278" t="s">
        <v>2015</v>
      </c>
      <c r="S524" s="332"/>
      <c r="T524" s="460">
        <f>'Punten per wedstrijd'!D656</f>
        <v>0</v>
      </c>
      <c r="U524" s="332" t="s">
        <v>275</v>
      </c>
      <c r="V524" s="63" t="s">
        <v>746</v>
      </c>
      <c r="W524" s="63"/>
      <c r="X524" s="460">
        <f>'Punten per wedstrijd'!D67</f>
        <v>3205.9000000000033</v>
      </c>
      <c r="Y524" s="332" t="s">
        <v>275</v>
      </c>
      <c r="Z524" s="278" t="s">
        <v>37</v>
      </c>
      <c r="AA524" s="63"/>
      <c r="AB524" s="460">
        <f>'Punten per wedstrijd'!D302</f>
        <v>463.3</v>
      </c>
      <c r="AC524" s="332" t="s">
        <v>275</v>
      </c>
      <c r="AD524" s="63" t="s">
        <v>778</v>
      </c>
      <c r="AE524" s="63"/>
      <c r="AF524" s="460">
        <f>'Punten per wedstrijd'!D485</f>
        <v>216.09999999999968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60">
        <f>'Punten per wedstrijd'!D764</f>
        <v>0</v>
      </c>
      <c r="E525" s="332" t="s">
        <v>276</v>
      </c>
      <c r="F525" s="219" t="s">
        <v>1659</v>
      </c>
      <c r="G525" s="63"/>
      <c r="H525" s="460">
        <f>'Punten per wedstrijd'!D204</f>
        <v>3424.5999999999981</v>
      </c>
      <c r="I525" s="332" t="s">
        <v>276</v>
      </c>
      <c r="J525" s="278" t="s">
        <v>11</v>
      </c>
      <c r="K525" s="63"/>
      <c r="L525" s="460">
        <f>'Punten per wedstrijd'!D339</f>
        <v>570.8000000000003</v>
      </c>
      <c r="M525" s="332" t="s">
        <v>276</v>
      </c>
      <c r="N525" s="278" t="s">
        <v>1</v>
      </c>
      <c r="O525" s="63"/>
      <c r="P525" s="460">
        <f>'Punten per wedstrijd'!D532</f>
        <v>211.30000000000049</v>
      </c>
      <c r="Q525" s="332" t="s">
        <v>276</v>
      </c>
      <c r="R525" s="63" t="s">
        <v>3387</v>
      </c>
      <c r="S525" s="332"/>
      <c r="T525" s="460">
        <f>'Punten per wedstrijd'!D657</f>
        <v>0</v>
      </c>
      <c r="U525" s="332" t="s">
        <v>276</v>
      </c>
      <c r="V525" s="63" t="s">
        <v>748</v>
      </c>
      <c r="W525" s="63"/>
      <c r="X525" s="460">
        <f>'Punten per wedstrijd'!D80</f>
        <v>3185.6000000000008</v>
      </c>
      <c r="Y525" s="332" t="s">
        <v>276</v>
      </c>
      <c r="Z525" s="63" t="s">
        <v>3388</v>
      </c>
      <c r="AA525" s="63"/>
      <c r="AB525" s="460">
        <f>'Punten per wedstrijd'!D293</f>
        <v>462.00000000000006</v>
      </c>
      <c r="AC525" s="332" t="s">
        <v>276</v>
      </c>
      <c r="AD525" s="63" t="s">
        <v>3382</v>
      </c>
      <c r="AE525" s="63"/>
      <c r="AF525" s="460">
        <f>'Punten per wedstrijd'!D475</f>
        <v>213.80000000000047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60">
        <f>'Punten per wedstrijd'!D765</f>
        <v>0</v>
      </c>
      <c r="E526" s="332" t="s">
        <v>277</v>
      </c>
      <c r="F526" s="278" t="s">
        <v>33</v>
      </c>
      <c r="G526" s="63"/>
      <c r="H526" s="460">
        <f>'Punten per wedstrijd'!D197</f>
        <v>3414.9999999999977</v>
      </c>
      <c r="I526" s="332" t="s">
        <v>277</v>
      </c>
      <c r="J526" s="278" t="s">
        <v>4520</v>
      </c>
      <c r="K526" s="63"/>
      <c r="L526" s="460">
        <f>'Punten per wedstrijd'!D361</f>
        <v>570</v>
      </c>
      <c r="M526" s="332" t="s">
        <v>277</v>
      </c>
      <c r="N526" s="63" t="s">
        <v>3387</v>
      </c>
      <c r="O526" s="63"/>
      <c r="P526" s="460">
        <f>'Punten per wedstrijd'!D553</f>
        <v>204.6999999999997</v>
      </c>
      <c r="Q526" s="332" t="s">
        <v>277</v>
      </c>
      <c r="R526" s="63" t="s">
        <v>783</v>
      </c>
      <c r="S526" s="332"/>
      <c r="T526" s="460">
        <f>'Punten per wedstrijd'!D658</f>
        <v>0</v>
      </c>
      <c r="U526" s="332" t="s">
        <v>277</v>
      </c>
      <c r="V526" s="219" t="s">
        <v>1659</v>
      </c>
      <c r="W526" s="63"/>
      <c r="X526" s="460">
        <f>'Punten per wedstrijd'!D100</f>
        <v>3139.3999999999987</v>
      </c>
      <c r="Y526" s="332" t="s">
        <v>277</v>
      </c>
      <c r="Z526" s="63" t="s">
        <v>3382</v>
      </c>
      <c r="AA526" s="63"/>
      <c r="AB526" s="460">
        <f>'Punten per wedstrijd'!D267</f>
        <v>460.80000000000013</v>
      </c>
      <c r="AC526" s="332" t="s">
        <v>277</v>
      </c>
      <c r="AD526" s="278" t="s">
        <v>23</v>
      </c>
      <c r="AE526" s="63"/>
      <c r="AF526" s="460">
        <f>'Punten per wedstrijd'!D478</f>
        <v>210.49999999999901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3402</v>
      </c>
      <c r="C527" s="63"/>
      <c r="D527" s="460">
        <f>'Punten per wedstrijd'!D766</f>
        <v>0</v>
      </c>
      <c r="E527" s="332" t="s">
        <v>278</v>
      </c>
      <c r="F527" s="63" t="s">
        <v>3375</v>
      </c>
      <c r="G527" s="63"/>
      <c r="H527" s="460">
        <f>'Punten per wedstrijd'!D115</f>
        <v>3394.2000000000025</v>
      </c>
      <c r="I527" s="332" t="s">
        <v>278</v>
      </c>
      <c r="J527" s="63" t="s">
        <v>141</v>
      </c>
      <c r="K527" s="63"/>
      <c r="L527" s="460">
        <f>'Punten per wedstrijd'!D364</f>
        <v>568.30000000000075</v>
      </c>
      <c r="M527" s="332" t="s">
        <v>278</v>
      </c>
      <c r="N527" s="63" t="s">
        <v>762</v>
      </c>
      <c r="O527" s="63"/>
      <c r="P527" s="460">
        <f>'Punten per wedstrijd'!D578</f>
        <v>204.49999999999955</v>
      </c>
      <c r="Q527" s="332" t="s">
        <v>278</v>
      </c>
      <c r="R527" s="278" t="s">
        <v>13</v>
      </c>
      <c r="S527" s="332"/>
      <c r="T527" s="460">
        <f>'Punten per wedstrijd'!D659</f>
        <v>0</v>
      </c>
      <c r="U527" s="332" t="s">
        <v>278</v>
      </c>
      <c r="V527" s="63" t="s">
        <v>3394</v>
      </c>
      <c r="W527" s="63"/>
      <c r="X527" s="460">
        <f>'Punten per wedstrijd'!D14</f>
        <v>3127.8999999999978</v>
      </c>
      <c r="Y527" s="332" t="s">
        <v>278</v>
      </c>
      <c r="Z527" s="63" t="s">
        <v>757</v>
      </c>
      <c r="AA527" s="63"/>
      <c r="AB527" s="460">
        <f>'Punten per wedstrijd'!D249</f>
        <v>457.09999999999991</v>
      </c>
      <c r="AC527" s="332" t="s">
        <v>278</v>
      </c>
      <c r="AD527" s="278" t="s">
        <v>11</v>
      </c>
      <c r="AE527" s="63"/>
      <c r="AF527" s="460">
        <f>'Punten per wedstrijd'!D443</f>
        <v>209.50000000000034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2011</v>
      </c>
      <c r="C528" s="63"/>
      <c r="D528" s="460">
        <f>'Punten per wedstrijd'!D767</f>
        <v>0</v>
      </c>
      <c r="E528" s="332" t="s">
        <v>735</v>
      </c>
      <c r="F528" s="219" t="s">
        <v>1657</v>
      </c>
      <c r="G528" s="63"/>
      <c r="H528" s="460">
        <f>'Punten per wedstrijd'!D111</f>
        <v>3376.5000000000009</v>
      </c>
      <c r="I528" s="332" t="s">
        <v>735</v>
      </c>
      <c r="J528" s="63" t="s">
        <v>783</v>
      </c>
      <c r="K528" s="63"/>
      <c r="L528" s="460">
        <f>'Punten per wedstrijd'!D346</f>
        <v>566.40000000000077</v>
      </c>
      <c r="M528" s="332" t="s">
        <v>735</v>
      </c>
      <c r="N528" s="63" t="s">
        <v>3393</v>
      </c>
      <c r="O528" s="63"/>
      <c r="P528" s="460">
        <f>'Punten per wedstrijd'!D544</f>
        <v>195.20000000000022</v>
      </c>
      <c r="Q528" s="332" t="s">
        <v>735</v>
      </c>
      <c r="R528" s="63" t="s">
        <v>734</v>
      </c>
      <c r="S528" s="332"/>
      <c r="T528" s="460">
        <f>'Punten per wedstrijd'!D660</f>
        <v>0</v>
      </c>
      <c r="U528" s="332" t="s">
        <v>735</v>
      </c>
      <c r="V528" s="219" t="s">
        <v>1662</v>
      </c>
      <c r="W528" s="63"/>
      <c r="X528" s="460">
        <f>'Punten per wedstrijd'!D96</f>
        <v>3124.3000000000029</v>
      </c>
      <c r="Y528" s="332" t="s">
        <v>735</v>
      </c>
      <c r="Z528" s="278" t="s">
        <v>2014</v>
      </c>
      <c r="AA528" s="63"/>
      <c r="AB528" s="460">
        <f>'Punten per wedstrijd'!D214</f>
        <v>455.30000000000013</v>
      </c>
      <c r="AC528" s="332" t="s">
        <v>735</v>
      </c>
      <c r="AD528" s="63" t="s">
        <v>3375</v>
      </c>
      <c r="AE528" s="63"/>
      <c r="AF528" s="460">
        <f>'Punten per wedstrijd'!D427</f>
        <v>207.90000000000077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60">
        <f>'Punten per wedstrijd'!D768</f>
        <v>0</v>
      </c>
      <c r="E529" s="332" t="s">
        <v>736</v>
      </c>
      <c r="F529" s="63" t="s">
        <v>3402</v>
      </c>
      <c r="G529" s="63"/>
      <c r="H529" s="460">
        <f>'Punten per wedstrijd'!D142</f>
        <v>3376.2</v>
      </c>
      <c r="I529" s="332" t="s">
        <v>736</v>
      </c>
      <c r="J529" s="63" t="s">
        <v>753</v>
      </c>
      <c r="K529" s="63"/>
      <c r="L529" s="460">
        <f>'Punten per wedstrijd'!D414</f>
        <v>551.39999999999952</v>
      </c>
      <c r="M529" s="332" t="s">
        <v>736</v>
      </c>
      <c r="N529" s="63" t="s">
        <v>764</v>
      </c>
      <c r="O529" s="63"/>
      <c r="P529" s="460">
        <f>'Punten per wedstrijd'!D592</f>
        <v>189.6000000000007</v>
      </c>
      <c r="Q529" s="332" t="s">
        <v>736</v>
      </c>
      <c r="R529" s="278" t="s">
        <v>15</v>
      </c>
      <c r="S529" s="332"/>
      <c r="T529" s="460">
        <f>'Punten per wedstrijd'!D661</f>
        <v>0</v>
      </c>
      <c r="U529" s="332" t="s">
        <v>736</v>
      </c>
      <c r="V529" s="219" t="s">
        <v>1654</v>
      </c>
      <c r="W529" s="63"/>
      <c r="X529" s="460">
        <f>'Punten per wedstrijd'!D64</f>
        <v>3121.6000000000022</v>
      </c>
      <c r="Y529" s="332" t="s">
        <v>736</v>
      </c>
      <c r="Z529" s="63" t="s">
        <v>733</v>
      </c>
      <c r="AA529" s="63"/>
      <c r="AB529" s="460">
        <f>'Punten per wedstrijd'!D292</f>
        <v>442.7</v>
      </c>
      <c r="AC529" s="332" t="s">
        <v>736</v>
      </c>
      <c r="AD529" s="278" t="s">
        <v>2057</v>
      </c>
      <c r="AE529" s="63"/>
      <c r="AF529" s="460">
        <f>'Punten per wedstrijd'!D433</f>
        <v>206.70000000000013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60">
        <f>'Punten per wedstrijd'!D769</f>
        <v>0</v>
      </c>
      <c r="E530" s="332" t="s">
        <v>737</v>
      </c>
      <c r="F530" s="278" t="s">
        <v>11</v>
      </c>
      <c r="G530" s="63"/>
      <c r="H530" s="460">
        <f>'Punten per wedstrijd'!D131</f>
        <v>3364.3999999999996</v>
      </c>
      <c r="I530" s="332" t="s">
        <v>737</v>
      </c>
      <c r="J530" s="278" t="s">
        <v>3373</v>
      </c>
      <c r="K530" s="63"/>
      <c r="L530" s="460">
        <f>'Punten per wedstrijd'!D365</f>
        <v>551.29999999999973</v>
      </c>
      <c r="M530" s="332" t="s">
        <v>737</v>
      </c>
      <c r="N530" s="63" t="s">
        <v>9</v>
      </c>
      <c r="O530" s="63"/>
      <c r="P530" s="460">
        <f>'Punten per wedstrijd'!D545</f>
        <v>188.90000000000094</v>
      </c>
      <c r="Q530" s="332" t="s">
        <v>737</v>
      </c>
      <c r="R530" s="63" t="s">
        <v>3402</v>
      </c>
      <c r="S530" s="332"/>
      <c r="T530" s="460">
        <f>'Punten per wedstrijd'!D662</f>
        <v>0</v>
      </c>
      <c r="U530" s="332" t="s">
        <v>737</v>
      </c>
      <c r="V530" s="278" t="s">
        <v>2006</v>
      </c>
      <c r="W530" s="63"/>
      <c r="X530" s="460">
        <f>'Punten per wedstrijd'!D86</f>
        <v>3112.7000000000039</v>
      </c>
      <c r="Y530" s="332" t="s">
        <v>737</v>
      </c>
      <c r="Z530" s="278" t="s">
        <v>2031</v>
      </c>
      <c r="AA530" s="63"/>
      <c r="AB530" s="460">
        <f>'Punten per wedstrijd'!D264</f>
        <v>436.99999999999972</v>
      </c>
      <c r="AC530" s="332" t="s">
        <v>737</v>
      </c>
      <c r="AD530" s="63" t="s">
        <v>141</v>
      </c>
      <c r="AE530" s="63"/>
      <c r="AF530" s="460">
        <f>'Punten per wedstrijd'!D468</f>
        <v>205.00000000000051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60">
        <f>'Punten per wedstrijd'!D770</f>
        <v>0</v>
      </c>
      <c r="E531" s="332" t="s">
        <v>739</v>
      </c>
      <c r="F531" s="63" t="s">
        <v>3378</v>
      </c>
      <c r="G531" s="63"/>
      <c r="H531" s="460">
        <f>'Punten per wedstrijd'!D170</f>
        <v>3348.4500000000016</v>
      </c>
      <c r="I531" s="332" t="s">
        <v>739</v>
      </c>
      <c r="J531" s="219" t="s">
        <v>1654</v>
      </c>
      <c r="K531" s="63"/>
      <c r="L531" s="460">
        <f>'Punten per wedstrijd'!D376</f>
        <v>551.1</v>
      </c>
      <c r="M531" s="332" t="s">
        <v>739</v>
      </c>
      <c r="N531" s="63" t="s">
        <v>3383</v>
      </c>
      <c r="O531" s="63"/>
      <c r="P531" s="460">
        <f>'Punten per wedstrijd'!D575</f>
        <v>181.8000000000003</v>
      </c>
      <c r="Q531" s="332" t="s">
        <v>739</v>
      </c>
      <c r="R531" s="278" t="s">
        <v>2011</v>
      </c>
      <c r="S531" s="332"/>
      <c r="T531" s="460">
        <f>'Punten per wedstrijd'!D663</f>
        <v>0</v>
      </c>
      <c r="U531" s="332" t="s">
        <v>739</v>
      </c>
      <c r="V531" s="278" t="s">
        <v>25</v>
      </c>
      <c r="W531" s="63"/>
      <c r="X531" s="460">
        <f>'Punten per wedstrijd'!D63</f>
        <v>3106.6000000000004</v>
      </c>
      <c r="Y531" s="332" t="s">
        <v>739</v>
      </c>
      <c r="Z531" s="28" t="s">
        <v>143</v>
      </c>
      <c r="AA531" s="63"/>
      <c r="AB531" s="460">
        <f>'Punten per wedstrijd'!D303</f>
        <v>436.40000000000038</v>
      </c>
      <c r="AC531" s="332" t="s">
        <v>739</v>
      </c>
      <c r="AD531" s="63" t="s">
        <v>771</v>
      </c>
      <c r="AE531" s="63"/>
      <c r="AF531" s="460">
        <f>'Punten per wedstrijd'!D432</f>
        <v>200.69999999999976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3381</v>
      </c>
      <c r="C532" s="63"/>
      <c r="D532" s="460">
        <f>'Punten per wedstrijd'!D771</f>
        <v>0</v>
      </c>
      <c r="E532" s="332" t="s">
        <v>745</v>
      </c>
      <c r="F532" s="219" t="s">
        <v>1653</v>
      </c>
      <c r="G532" s="63"/>
      <c r="H532" s="460">
        <f>'Punten per wedstrijd'!D119</f>
        <v>3323.7000000000007</v>
      </c>
      <c r="I532" s="332" t="s">
        <v>745</v>
      </c>
      <c r="J532" s="63" t="s">
        <v>782</v>
      </c>
      <c r="K532" s="63"/>
      <c r="L532" s="460">
        <f>'Punten per wedstrijd'!D404</f>
        <v>548</v>
      </c>
      <c r="M532" s="332" t="s">
        <v>745</v>
      </c>
      <c r="N532" s="63" t="s">
        <v>3407</v>
      </c>
      <c r="O532" s="63"/>
      <c r="P532" s="460">
        <f>'Punten per wedstrijd'!D607</f>
        <v>180.30000000000035</v>
      </c>
      <c r="Q532" s="332" t="s">
        <v>745</v>
      </c>
      <c r="R532" s="278" t="s">
        <v>17</v>
      </c>
      <c r="S532" s="332"/>
      <c r="T532" s="460">
        <f>'Punten per wedstrijd'!D664</f>
        <v>0</v>
      </c>
      <c r="U532" s="332" t="s">
        <v>745</v>
      </c>
      <c r="V532" s="63" t="s">
        <v>734</v>
      </c>
      <c r="W532" s="63"/>
      <c r="X532" s="460">
        <f>'Punten per wedstrijd'!D36</f>
        <v>3094.1000000000031</v>
      </c>
      <c r="Y532" s="332" t="s">
        <v>745</v>
      </c>
      <c r="Z532" s="63" t="s">
        <v>749</v>
      </c>
      <c r="AA532" s="63"/>
      <c r="AB532" s="460">
        <f>'Punten per wedstrijd'!D287</f>
        <v>434.19999999999976</v>
      </c>
      <c r="AC532" s="332" t="s">
        <v>745</v>
      </c>
      <c r="AD532" s="278" t="s">
        <v>2161</v>
      </c>
      <c r="AE532" s="63"/>
      <c r="AF532" s="460">
        <f>'Punten per wedstrijd'!D498</f>
        <v>199.39999999999966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3406</v>
      </c>
      <c r="C533" s="63"/>
      <c r="D533" s="460">
        <f>'Punten per wedstrijd'!D772</f>
        <v>0</v>
      </c>
      <c r="E533" s="332" t="s">
        <v>747</v>
      </c>
      <c r="F533" s="63" t="s">
        <v>3388</v>
      </c>
      <c r="G533" s="63"/>
      <c r="H533" s="460">
        <f>'Punten per wedstrijd'!D189</f>
        <v>3306.8999999999987</v>
      </c>
      <c r="I533" s="332" t="s">
        <v>747</v>
      </c>
      <c r="J533" s="63" t="s">
        <v>3387</v>
      </c>
      <c r="K533" s="63"/>
      <c r="L533" s="460">
        <f>'Punten per wedstrijd'!D345</f>
        <v>544.80000000000018</v>
      </c>
      <c r="M533" s="332" t="s">
        <v>747</v>
      </c>
      <c r="N533" s="63" t="s">
        <v>753</v>
      </c>
      <c r="O533" s="63"/>
      <c r="P533" s="460">
        <f>'Punten per wedstrijd'!D622</f>
        <v>179.49999999999989</v>
      </c>
      <c r="Q533" s="332" t="s">
        <v>747</v>
      </c>
      <c r="R533" s="63" t="s">
        <v>757</v>
      </c>
      <c r="S533" s="332"/>
      <c r="T533" s="460">
        <f>'Punten per wedstrijd'!D665</f>
        <v>0</v>
      </c>
      <c r="U533" s="332" t="s">
        <v>747</v>
      </c>
      <c r="V533" s="278" t="s">
        <v>27</v>
      </c>
      <c r="W533" s="63"/>
      <c r="X533" s="460">
        <f>'Punten per wedstrijd'!D68</f>
        <v>3081.5</v>
      </c>
      <c r="Y533" s="332" t="s">
        <v>747</v>
      </c>
      <c r="Z533" s="278" t="s">
        <v>3374</v>
      </c>
      <c r="AA533" s="63"/>
      <c r="AB533" s="460">
        <f>'Punten per wedstrijd'!D311</f>
        <v>431.4</v>
      </c>
      <c r="AC533" s="332" t="s">
        <v>747</v>
      </c>
      <c r="AD533" s="63" t="s">
        <v>3381</v>
      </c>
      <c r="AE533" s="63"/>
      <c r="AF533" s="460">
        <f>'Punten per wedstrijd'!D459</f>
        <v>199.1999999999997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3384</v>
      </c>
      <c r="C534" s="63"/>
      <c r="D534" s="460">
        <f>'Punten per wedstrijd'!D773</f>
        <v>0</v>
      </c>
      <c r="E534" s="332" t="s">
        <v>750</v>
      </c>
      <c r="F534" s="63" t="s">
        <v>3385</v>
      </c>
      <c r="G534" s="63"/>
      <c r="H534" s="460">
        <f>'Punten per wedstrijd'!D187</f>
        <v>3293.8999999999996</v>
      </c>
      <c r="I534" s="332" t="s">
        <v>750</v>
      </c>
      <c r="J534" s="278" t="s">
        <v>2057</v>
      </c>
      <c r="K534" s="63"/>
      <c r="L534" s="460">
        <f>'Punten per wedstrijd'!D329</f>
        <v>542.89999999999986</v>
      </c>
      <c r="M534" s="332" t="s">
        <v>750</v>
      </c>
      <c r="N534" s="278" t="s">
        <v>2014</v>
      </c>
      <c r="O534" s="63"/>
      <c r="P534" s="460">
        <f>'Punten per wedstrijd'!D526</f>
        <v>179.10000000000076</v>
      </c>
      <c r="Q534" s="332" t="s">
        <v>750</v>
      </c>
      <c r="R534" s="63" t="s">
        <v>162</v>
      </c>
      <c r="S534" s="332"/>
      <c r="T534" s="460">
        <f>'Punten per wedstrijd'!D666</f>
        <v>0</v>
      </c>
      <c r="U534" s="332" t="s">
        <v>750</v>
      </c>
      <c r="V534" s="63" t="s">
        <v>3402</v>
      </c>
      <c r="W534" s="63"/>
      <c r="X534" s="460">
        <f>'Punten per wedstrijd'!D38</f>
        <v>3080.9999999999995</v>
      </c>
      <c r="Y534" s="332" t="s">
        <v>750</v>
      </c>
      <c r="Z534" s="63" t="s">
        <v>3384</v>
      </c>
      <c r="AA534" s="63"/>
      <c r="AB534" s="460">
        <f>'Punten per wedstrijd'!D253</f>
        <v>429</v>
      </c>
      <c r="AC534" s="332" t="s">
        <v>750</v>
      </c>
      <c r="AD534" s="219" t="s">
        <v>1654</v>
      </c>
      <c r="AE534" s="63"/>
      <c r="AF534" s="460">
        <f>'Punten per wedstrijd'!D480</f>
        <v>198.99999999999972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60">
        <f>'Punten per wedstrijd'!D774</f>
        <v>0</v>
      </c>
      <c r="E535" s="332" t="s">
        <v>751</v>
      </c>
      <c r="F535" s="63" t="s">
        <v>180</v>
      </c>
      <c r="G535" s="63"/>
      <c r="H535" s="460">
        <f>'Punten per wedstrijd'!D202</f>
        <v>3283.9000000000015</v>
      </c>
      <c r="I535" s="332" t="s">
        <v>751</v>
      </c>
      <c r="J535" s="278" t="s">
        <v>13</v>
      </c>
      <c r="K535" s="63"/>
      <c r="L535" s="460">
        <f>'Punten per wedstrijd'!D347</f>
        <v>542.6</v>
      </c>
      <c r="M535" s="332" t="s">
        <v>751</v>
      </c>
      <c r="N535" s="63" t="s">
        <v>755</v>
      </c>
      <c r="O535" s="63"/>
      <c r="P535" s="460">
        <f>'Punten per wedstrijd'!D611</f>
        <v>178.10000000000022</v>
      </c>
      <c r="Q535" s="332" t="s">
        <v>751</v>
      </c>
      <c r="R535" s="63" t="s">
        <v>3381</v>
      </c>
      <c r="S535" s="332"/>
      <c r="T535" s="460">
        <f>'Punten per wedstrijd'!D667</f>
        <v>0</v>
      </c>
      <c r="U535" s="332" t="s">
        <v>751</v>
      </c>
      <c r="V535" s="63" t="s">
        <v>9</v>
      </c>
      <c r="W535" s="63"/>
      <c r="X535" s="460">
        <f>'Punten per wedstrijd'!D25</f>
        <v>3057.7999999999988</v>
      </c>
      <c r="Y535" s="332" t="s">
        <v>751</v>
      </c>
      <c r="Z535" s="63" t="s">
        <v>763</v>
      </c>
      <c r="AA535" s="63"/>
      <c r="AB535" s="460">
        <f>'Punten per wedstrijd'!D269</f>
        <v>425.19999999999982</v>
      </c>
      <c r="AC535" s="332" t="s">
        <v>751</v>
      </c>
      <c r="AD535" s="63" t="s">
        <v>3383</v>
      </c>
      <c r="AE535" s="63"/>
      <c r="AF535" s="460">
        <f>'Punten per wedstrijd'!D471</f>
        <v>198.59999999999903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3380</v>
      </c>
      <c r="C536" s="63"/>
      <c r="D536" s="460">
        <f>'Punten per wedstrijd'!D775</f>
        <v>0</v>
      </c>
      <c r="E536" s="332" t="s">
        <v>754</v>
      </c>
      <c r="F536" s="278" t="s">
        <v>17</v>
      </c>
      <c r="G536" s="63"/>
      <c r="H536" s="460">
        <f>'Punten per wedstrijd'!D144</f>
        <v>3281.9999999999995</v>
      </c>
      <c r="I536" s="332" t="s">
        <v>754</v>
      </c>
      <c r="J536" s="63" t="s">
        <v>3405</v>
      </c>
      <c r="K536" s="63"/>
      <c r="L536" s="460">
        <f>'Punten per wedstrijd'!D388</f>
        <v>541.25</v>
      </c>
      <c r="M536" s="332" t="s">
        <v>754</v>
      </c>
      <c r="N536" s="63" t="s">
        <v>141</v>
      </c>
      <c r="O536" s="63"/>
      <c r="P536" s="460">
        <f>'Punten per wedstrijd'!D572</f>
        <v>175.59999999999886</v>
      </c>
      <c r="Q536" s="332" t="s">
        <v>754</v>
      </c>
      <c r="R536" s="63" t="s">
        <v>3406</v>
      </c>
      <c r="S536" s="332"/>
      <c r="T536" s="460">
        <f>'Punten per wedstrijd'!D668</f>
        <v>0</v>
      </c>
      <c r="U536" s="332" t="s">
        <v>754</v>
      </c>
      <c r="V536" s="63" t="s">
        <v>3377</v>
      </c>
      <c r="W536" s="63"/>
      <c r="X536" s="460">
        <f>'Punten per wedstrijd'!D28</f>
        <v>3045.8000000000006</v>
      </c>
      <c r="Y536" s="332" t="s">
        <v>754</v>
      </c>
      <c r="Z536" s="63" t="s">
        <v>738</v>
      </c>
      <c r="AA536" s="63"/>
      <c r="AB536" s="460">
        <f>'Punten per wedstrijd'!D282</f>
        <v>424.29999999999995</v>
      </c>
      <c r="AC536" s="332" t="s">
        <v>754</v>
      </c>
      <c r="AD536" s="63" t="s">
        <v>180</v>
      </c>
      <c r="AE536" s="63"/>
      <c r="AF536" s="460">
        <f>'Punten per wedstrijd'!D514</f>
        <v>193.49999999999991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60">
        <f>'Punten per wedstrijd'!D776</f>
        <v>0</v>
      </c>
      <c r="E537" s="332" t="s">
        <v>756</v>
      </c>
      <c r="F537" s="63" t="s">
        <v>753</v>
      </c>
      <c r="G537" s="63"/>
      <c r="H537" s="460">
        <f>'Punten per wedstrijd'!D206</f>
        <v>3279.9999999999986</v>
      </c>
      <c r="I537" s="332" t="s">
        <v>756</v>
      </c>
      <c r="J537" s="278" t="s">
        <v>25</v>
      </c>
      <c r="K537" s="63"/>
      <c r="L537" s="460">
        <f>'Punten per wedstrijd'!D375</f>
        <v>540.90000000000043</v>
      </c>
      <c r="M537" s="332" t="s">
        <v>756</v>
      </c>
      <c r="N537" s="278" t="s">
        <v>31</v>
      </c>
      <c r="O537" s="63"/>
      <c r="P537" s="460">
        <f>'Punten per wedstrijd'!D608</f>
        <v>175.40000000000066</v>
      </c>
      <c r="Q537" s="332" t="s">
        <v>756</v>
      </c>
      <c r="R537" s="63" t="s">
        <v>3384</v>
      </c>
      <c r="S537" s="332"/>
      <c r="T537" s="460">
        <f>'Punten per wedstrijd'!D669</f>
        <v>0</v>
      </c>
      <c r="U537" s="332" t="s">
        <v>756</v>
      </c>
      <c r="V537" s="278" t="s">
        <v>13</v>
      </c>
      <c r="W537" s="63"/>
      <c r="X537" s="460">
        <f>'Punten per wedstrijd'!D35</f>
        <v>3033.2000000000012</v>
      </c>
      <c r="Y537" s="332" t="s">
        <v>756</v>
      </c>
      <c r="Z537" s="63" t="s">
        <v>3386</v>
      </c>
      <c r="AA537" s="63"/>
      <c r="AB537" s="460">
        <f>'Punten per wedstrijd'!D213</f>
        <v>422.6</v>
      </c>
      <c r="AC537" s="332" t="s">
        <v>756</v>
      </c>
      <c r="AD537" s="219" t="s">
        <v>1659</v>
      </c>
      <c r="AE537" s="63"/>
      <c r="AF537" s="460">
        <f>'Punten per wedstrijd'!D516</f>
        <v>192.39999999999992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4520</v>
      </c>
      <c r="C538" s="63"/>
      <c r="D538" s="460">
        <f>'Punten per wedstrijd'!D777</f>
        <v>0</v>
      </c>
      <c r="E538" s="332" t="s">
        <v>761</v>
      </c>
      <c r="F538" s="219" t="s">
        <v>1655</v>
      </c>
      <c r="G538" s="63"/>
      <c r="H538" s="460">
        <f>'Punten per wedstrijd'!D134</f>
        <v>3238.8999999999965</v>
      </c>
      <c r="I538" s="332" t="s">
        <v>761</v>
      </c>
      <c r="J538" s="278" t="s">
        <v>17</v>
      </c>
      <c r="K538" s="63"/>
      <c r="L538" s="460">
        <f>'Punten per wedstrijd'!D352</f>
        <v>540.19999999999982</v>
      </c>
      <c r="M538" s="332" t="s">
        <v>761</v>
      </c>
      <c r="N538" s="63" t="s">
        <v>3375</v>
      </c>
      <c r="O538" s="63"/>
      <c r="P538" s="460">
        <f>'Punten per wedstrijd'!D531</f>
        <v>171.69999999999987</v>
      </c>
      <c r="Q538" s="332" t="s">
        <v>761</v>
      </c>
      <c r="R538" s="219" t="s">
        <v>1643</v>
      </c>
      <c r="S538" s="332"/>
      <c r="T538" s="460">
        <f>'Punten per wedstrijd'!D670</f>
        <v>0</v>
      </c>
      <c r="U538" s="332" t="s">
        <v>761</v>
      </c>
      <c r="V538" s="278" t="s">
        <v>11</v>
      </c>
      <c r="W538" s="63"/>
      <c r="X538" s="460">
        <f>'Punten per wedstrijd'!D27</f>
        <v>3013.7000000000003</v>
      </c>
      <c r="Y538" s="332" t="s">
        <v>761</v>
      </c>
      <c r="Z538" s="63" t="s">
        <v>3393</v>
      </c>
      <c r="AA538" s="63"/>
      <c r="AB538" s="460">
        <f>'Punten per wedstrijd'!D232</f>
        <v>422.30000000000013</v>
      </c>
      <c r="AC538" s="332" t="s">
        <v>761</v>
      </c>
      <c r="AD538" s="219" t="s">
        <v>1647</v>
      </c>
      <c r="AE538" s="63"/>
      <c r="AF538" s="460">
        <f>'Punten per wedstrijd'!D426</f>
        <v>191.50000000000045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60">
        <f>'Punten per wedstrijd'!D778</f>
        <v>0</v>
      </c>
      <c r="E539" s="332" t="s">
        <v>765</v>
      </c>
      <c r="F539" s="278" t="s">
        <v>4520</v>
      </c>
      <c r="G539" s="63"/>
      <c r="H539" s="460">
        <f>'Punten per wedstrijd'!D153</f>
        <v>3226.2999999999961</v>
      </c>
      <c r="I539" s="332" t="s">
        <v>765</v>
      </c>
      <c r="J539" s="63" t="s">
        <v>3406</v>
      </c>
      <c r="K539" s="63"/>
      <c r="L539" s="460">
        <f>'Punten per wedstrijd'!D356</f>
        <v>536.2999999999995</v>
      </c>
      <c r="M539" s="332" t="s">
        <v>765</v>
      </c>
      <c r="N539" s="219" t="s">
        <v>1656</v>
      </c>
      <c r="O539" s="63"/>
      <c r="P539" s="460">
        <f>'Punten per wedstrijd'!D585</f>
        <v>171.19999999999993</v>
      </c>
      <c r="Q539" s="332" t="s">
        <v>765</v>
      </c>
      <c r="R539" s="63" t="s">
        <v>3380</v>
      </c>
      <c r="S539" s="332"/>
      <c r="T539" s="460">
        <f>'Punten per wedstrijd'!D671</f>
        <v>0</v>
      </c>
      <c r="U539" s="332" t="s">
        <v>765</v>
      </c>
      <c r="V539" s="278" t="s">
        <v>17</v>
      </c>
      <c r="W539" s="63"/>
      <c r="X539" s="460">
        <f>'Punten per wedstrijd'!D40</f>
        <v>3002.9</v>
      </c>
      <c r="Y539" s="332" t="s">
        <v>765</v>
      </c>
      <c r="Z539" s="278" t="s">
        <v>2022</v>
      </c>
      <c r="AA539" s="63"/>
      <c r="AB539" s="460">
        <f>'Punten per wedstrijd'!D234</f>
        <v>419.89999999999981</v>
      </c>
      <c r="AC539" s="332" t="s">
        <v>765</v>
      </c>
      <c r="AD539" s="219" t="s">
        <v>1655</v>
      </c>
      <c r="AE539" s="63"/>
      <c r="AF539" s="460">
        <f>'Punten per wedstrijd'!D446</f>
        <v>191.4000000000004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60">
        <f>'Punten per wedstrijd'!D779</f>
        <v>0</v>
      </c>
      <c r="E540" s="332" t="s">
        <v>766</v>
      </c>
      <c r="F540" s="63" t="s">
        <v>748</v>
      </c>
      <c r="G540" s="63"/>
      <c r="H540" s="460">
        <f>'Punten per wedstrijd'!D184</f>
        <v>3221.8</v>
      </c>
      <c r="I540" s="332" t="s">
        <v>766</v>
      </c>
      <c r="J540" s="63" t="s">
        <v>734</v>
      </c>
      <c r="K540" s="63"/>
      <c r="L540" s="460">
        <f>'Punten per wedstrijd'!D348</f>
        <v>535.89999999999964</v>
      </c>
      <c r="M540" s="332" t="s">
        <v>766</v>
      </c>
      <c r="N540" s="63" t="s">
        <v>783</v>
      </c>
      <c r="O540" s="63"/>
      <c r="P540" s="460">
        <f>'Punten per wedstrijd'!D554</f>
        <v>170.70000000000113</v>
      </c>
      <c r="Q540" s="332" t="s">
        <v>766</v>
      </c>
      <c r="R540" s="63" t="s">
        <v>800</v>
      </c>
      <c r="S540" s="332"/>
      <c r="T540" s="460">
        <f>'Punten per wedstrijd'!D672</f>
        <v>0</v>
      </c>
      <c r="U540" s="332" t="s">
        <v>766</v>
      </c>
      <c r="V540" s="278" t="s">
        <v>15</v>
      </c>
      <c r="W540" s="63"/>
      <c r="X540" s="460">
        <f>'Punten per wedstrijd'!D37</f>
        <v>2997.199999999998</v>
      </c>
      <c r="Y540" s="332" t="s">
        <v>766</v>
      </c>
      <c r="Z540" s="63" t="s">
        <v>796</v>
      </c>
      <c r="AA540" s="63"/>
      <c r="AB540" s="460">
        <f>'Punten per wedstrijd'!D258</f>
        <v>419.29999999999967</v>
      </c>
      <c r="AC540" s="332" t="s">
        <v>766</v>
      </c>
      <c r="AD540" s="63" t="s">
        <v>3387</v>
      </c>
      <c r="AE540" s="63"/>
      <c r="AF540" s="460">
        <f>'Punten per wedstrijd'!D449</f>
        <v>189.49999999999937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60">
        <f>'Punten per wedstrijd'!D780</f>
        <v>0</v>
      </c>
      <c r="E541" s="332" t="s">
        <v>767</v>
      </c>
      <c r="F541" s="219" t="s">
        <v>1643</v>
      </c>
      <c r="G541" s="63"/>
      <c r="H541" s="460">
        <f>'Punten per wedstrijd'!D150</f>
        <v>3210.5000000000005</v>
      </c>
      <c r="I541" s="332" t="s">
        <v>767</v>
      </c>
      <c r="J541" s="278" t="s">
        <v>33</v>
      </c>
      <c r="K541" s="63"/>
      <c r="L541" s="460">
        <f>'Punten per wedstrijd'!D405</f>
        <v>522.69999999999982</v>
      </c>
      <c r="M541" s="332" t="s">
        <v>767</v>
      </c>
      <c r="N541" s="63" t="s">
        <v>3382</v>
      </c>
      <c r="O541" s="63"/>
      <c r="P541" s="460">
        <f>'Punten per wedstrijd'!D579</f>
        <v>170.70000000000059</v>
      </c>
      <c r="Q541" s="332" t="s">
        <v>767</v>
      </c>
      <c r="R541" s="278" t="s">
        <v>4520</v>
      </c>
      <c r="S541" s="332"/>
      <c r="T541" s="460">
        <f>'Punten per wedstrijd'!D673</f>
        <v>0</v>
      </c>
      <c r="U541" s="332" t="s">
        <v>767</v>
      </c>
      <c r="V541" s="63" t="s">
        <v>3403</v>
      </c>
      <c r="W541" s="63"/>
      <c r="X541" s="460">
        <f>'Punten per wedstrijd'!D99</f>
        <v>2973</v>
      </c>
      <c r="Y541" s="332" t="s">
        <v>767</v>
      </c>
      <c r="Z541" s="278" t="s">
        <v>31</v>
      </c>
      <c r="AA541" s="63"/>
      <c r="AB541" s="460">
        <f>'Punten per wedstrijd'!D296</f>
        <v>417.19999999999993</v>
      </c>
      <c r="AC541" s="332" t="s">
        <v>767</v>
      </c>
      <c r="AD541" s="63" t="s">
        <v>755</v>
      </c>
      <c r="AE541" s="63"/>
      <c r="AF541" s="460">
        <f>'Punten per wedstrijd'!D507</f>
        <v>188.7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3373</v>
      </c>
      <c r="C542" s="63"/>
      <c r="D542" s="460">
        <f>'Punten per wedstrijd'!D781</f>
        <v>0</v>
      </c>
      <c r="E542" s="332" t="s">
        <v>773</v>
      </c>
      <c r="F542" s="63" t="s">
        <v>3379</v>
      </c>
      <c r="G542" s="63"/>
      <c r="H542" s="460">
        <f>'Punten per wedstrijd'!D127</f>
        <v>3193.599999999999</v>
      </c>
      <c r="I542" s="332" t="s">
        <v>773</v>
      </c>
      <c r="J542" s="278" t="s">
        <v>2006</v>
      </c>
      <c r="K542" s="63"/>
      <c r="L542" s="460">
        <f>'Punten per wedstrijd'!D398</f>
        <v>519.2999999999995</v>
      </c>
      <c r="M542" s="332" t="s">
        <v>773</v>
      </c>
      <c r="N542" s="278" t="s">
        <v>15</v>
      </c>
      <c r="O542" s="63"/>
      <c r="P542" s="460">
        <f>'Punten per wedstrijd'!D557</f>
        <v>167.20000000000022</v>
      </c>
      <c r="Q542" s="332" t="s">
        <v>773</v>
      </c>
      <c r="R542" s="63" t="s">
        <v>796</v>
      </c>
      <c r="S542" s="332"/>
      <c r="T542" s="460">
        <f>'Punten per wedstrijd'!D674</f>
        <v>0</v>
      </c>
      <c r="U542" s="332" t="s">
        <v>773</v>
      </c>
      <c r="V542" s="278" t="s">
        <v>2028</v>
      </c>
      <c r="W542" s="63"/>
      <c r="X542" s="460">
        <f>'Punten per wedstrijd'!D22</f>
        <v>2964.4999999999968</v>
      </c>
      <c r="Y542" s="332" t="s">
        <v>773</v>
      </c>
      <c r="Z542" s="63" t="s">
        <v>3405</v>
      </c>
      <c r="AA542" s="63"/>
      <c r="AB542" s="460">
        <f>'Punten per wedstrijd'!D284</f>
        <v>416.7</v>
      </c>
      <c r="AC542" s="332" t="s">
        <v>773</v>
      </c>
      <c r="AD542" s="278" t="s">
        <v>31</v>
      </c>
      <c r="AE542" s="63"/>
      <c r="AF542" s="460">
        <f>'Punten per wedstrijd'!D504</f>
        <v>188.44999999999956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2030</v>
      </c>
      <c r="C543" s="63"/>
      <c r="D543" s="460">
        <f>'Punten per wedstrijd'!D782</f>
        <v>0</v>
      </c>
      <c r="E543" s="332" t="s">
        <v>781</v>
      </c>
      <c r="F543" s="278" t="s">
        <v>2034</v>
      </c>
      <c r="G543" s="63"/>
      <c r="H543" s="460">
        <f>'Punten per wedstrijd'!D201</f>
        <v>3185.2000000000016</v>
      </c>
      <c r="I543" s="332" t="s">
        <v>781</v>
      </c>
      <c r="J543" s="278" t="s">
        <v>2161</v>
      </c>
      <c r="K543" s="63"/>
      <c r="L543" s="460">
        <f>'Punten per wedstrijd'!D394</f>
        <v>512.29999999999973</v>
      </c>
      <c r="M543" s="332" t="s">
        <v>781</v>
      </c>
      <c r="N543" s="278" t="s">
        <v>2161</v>
      </c>
      <c r="O543" s="63"/>
      <c r="P543" s="460">
        <f>'Punten per wedstrijd'!D602</f>
        <v>167.09999999999945</v>
      </c>
      <c r="Q543" s="332" t="s">
        <v>781</v>
      </c>
      <c r="R543" s="28" t="s">
        <v>21</v>
      </c>
      <c r="S543" s="332"/>
      <c r="T543" s="460">
        <f>'Punten per wedstrijd'!D675</f>
        <v>0</v>
      </c>
      <c r="U543" s="332" t="s">
        <v>781</v>
      </c>
      <c r="V543" s="63" t="s">
        <v>790</v>
      </c>
      <c r="W543" s="63"/>
      <c r="X543" s="460">
        <f>'Punten per wedstrijd'!D89</f>
        <v>2958.2000000000016</v>
      </c>
      <c r="Y543" s="332" t="s">
        <v>781</v>
      </c>
      <c r="Z543" s="63" t="s">
        <v>748</v>
      </c>
      <c r="AA543" s="63"/>
      <c r="AB543" s="460">
        <f>'Punten per wedstrijd'!D288</f>
        <v>411.39999999999992</v>
      </c>
      <c r="AC543" s="332" t="s">
        <v>781</v>
      </c>
      <c r="AD543" s="278" t="s">
        <v>2006</v>
      </c>
      <c r="AE543" s="63"/>
      <c r="AF543" s="460">
        <f>'Punten per wedstrijd'!D502</f>
        <v>188.00000000000003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3383</v>
      </c>
      <c r="C544" s="63"/>
      <c r="D544" s="460">
        <f>'Punten per wedstrijd'!D783</f>
        <v>0</v>
      </c>
      <c r="E544" s="332" t="s">
        <v>785</v>
      </c>
      <c r="F544" s="219" t="s">
        <v>1644</v>
      </c>
      <c r="G544" s="63"/>
      <c r="H544" s="460">
        <f>'Punten per wedstrijd'!D161</f>
        <v>3136.1000000000013</v>
      </c>
      <c r="I544" s="332" t="s">
        <v>785</v>
      </c>
      <c r="J544" s="63" t="s">
        <v>3389</v>
      </c>
      <c r="K544" s="63"/>
      <c r="L544" s="460">
        <f>'Punten per wedstrijd'!D372</f>
        <v>505.54999999999995</v>
      </c>
      <c r="M544" s="332" t="s">
        <v>785</v>
      </c>
      <c r="N544" s="63" t="s">
        <v>779</v>
      </c>
      <c r="O544" s="63"/>
      <c r="P544" s="460">
        <f>'Punten per wedstrijd'!D597</f>
        <v>164.19999999999959</v>
      </c>
      <c r="Q544" s="332" t="s">
        <v>785</v>
      </c>
      <c r="R544" s="63" t="s">
        <v>141</v>
      </c>
      <c r="S544" s="332"/>
      <c r="T544" s="460">
        <f>'Punten per wedstrijd'!D676</f>
        <v>0</v>
      </c>
      <c r="U544" s="332" t="s">
        <v>785</v>
      </c>
      <c r="V544" s="63" t="s">
        <v>3386</v>
      </c>
      <c r="W544" s="63"/>
      <c r="X544" s="460">
        <f>'Punten per wedstrijd'!D5</f>
        <v>2930.1</v>
      </c>
      <c r="Y544" s="332" t="s">
        <v>785</v>
      </c>
      <c r="Z544" s="63" t="s">
        <v>783</v>
      </c>
      <c r="AA544" s="63"/>
      <c r="AB544" s="460">
        <f>'Punten per wedstrijd'!D242</f>
        <v>408.20000000000022</v>
      </c>
      <c r="AC544" s="332" t="s">
        <v>785</v>
      </c>
      <c r="AD544" s="63" t="s">
        <v>3385</v>
      </c>
      <c r="AE544" s="63"/>
      <c r="AF544" s="460">
        <f>'Punten per wedstrijd'!D499</f>
        <v>186.00000000000057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2031</v>
      </c>
      <c r="C545" s="63"/>
      <c r="D545" s="460">
        <f>'Punten per wedstrijd'!D784</f>
        <v>0</v>
      </c>
      <c r="E545" s="332" t="s">
        <v>786</v>
      </c>
      <c r="F545" s="278" t="s">
        <v>25</v>
      </c>
      <c r="G545" s="63"/>
      <c r="H545" s="460">
        <f>'Punten per wedstrijd'!D167</f>
        <v>3129.1999999999985</v>
      </c>
      <c r="I545" s="332" t="s">
        <v>786</v>
      </c>
      <c r="J545" s="278" t="s">
        <v>2030</v>
      </c>
      <c r="K545" s="63"/>
      <c r="L545" s="460">
        <f>'Punten per wedstrijd'!D366</f>
        <v>498.00000000000006</v>
      </c>
      <c r="M545" s="332" t="s">
        <v>786</v>
      </c>
      <c r="N545" s="219" t="s">
        <v>1653</v>
      </c>
      <c r="O545" s="63"/>
      <c r="P545" s="460">
        <f>'Punten per wedstrijd'!D535</f>
        <v>163.99999999999909</v>
      </c>
      <c r="Q545" s="332" t="s">
        <v>786</v>
      </c>
      <c r="R545" s="278" t="s">
        <v>2030</v>
      </c>
      <c r="S545" s="332"/>
      <c r="T545" s="460">
        <f>'Punten per wedstrijd'!D678</f>
        <v>0</v>
      </c>
      <c r="U545" s="332" t="s">
        <v>786</v>
      </c>
      <c r="V545" s="28" t="s">
        <v>142</v>
      </c>
      <c r="W545" s="63"/>
      <c r="X545" s="460">
        <f>'Punten per wedstrijd'!D73</f>
        <v>2928.5000000000005</v>
      </c>
      <c r="Y545" s="332" t="s">
        <v>786</v>
      </c>
      <c r="Z545" s="278" t="s">
        <v>17</v>
      </c>
      <c r="AA545" s="63"/>
      <c r="AB545" s="460">
        <f>'Punten per wedstrijd'!D248</f>
        <v>406.79999999999995</v>
      </c>
      <c r="AC545" s="332" t="s">
        <v>786</v>
      </c>
      <c r="AD545" s="219" t="s">
        <v>1662</v>
      </c>
      <c r="AE545" s="63"/>
      <c r="AF545" s="460">
        <f>'Punten per wedstrijd'!D512</f>
        <v>184.49999999999989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60">
        <f>'Punten per wedstrijd'!D785</f>
        <v>0</v>
      </c>
      <c r="E546" s="332" t="s">
        <v>787</v>
      </c>
      <c r="F546" s="219" t="s">
        <v>1654</v>
      </c>
      <c r="G546" s="63"/>
      <c r="H546" s="460">
        <f>'Punten per wedstrijd'!D168</f>
        <v>3121.5000000000009</v>
      </c>
      <c r="I546" s="332" t="s">
        <v>787</v>
      </c>
      <c r="J546" s="63" t="s">
        <v>728</v>
      </c>
      <c r="K546" s="63"/>
      <c r="L546" s="460">
        <f>'Punten per wedstrijd'!D343</f>
        <v>497.7999999999999</v>
      </c>
      <c r="M546" s="332" t="s">
        <v>787</v>
      </c>
      <c r="N546" s="219" t="s">
        <v>1662</v>
      </c>
      <c r="O546" s="63"/>
      <c r="P546" s="460">
        <f>'Punten per wedstrijd'!D616</f>
        <v>161.89999999999941</v>
      </c>
      <c r="Q546" s="332" t="s">
        <v>787</v>
      </c>
      <c r="R546" s="63" t="s">
        <v>3383</v>
      </c>
      <c r="S546" s="332"/>
      <c r="T546" s="460">
        <f>'Punten per wedstrijd'!D679</f>
        <v>0</v>
      </c>
      <c r="U546" s="332" t="s">
        <v>787</v>
      </c>
      <c r="V546" s="278" t="s">
        <v>4520</v>
      </c>
      <c r="W546" s="63"/>
      <c r="X546" s="460">
        <f>'Punten per wedstrijd'!D49</f>
        <v>2917.799999999997</v>
      </c>
      <c r="Y546" s="332" t="s">
        <v>787</v>
      </c>
      <c r="Z546" s="219" t="s">
        <v>1653</v>
      </c>
      <c r="AA546" s="63"/>
      <c r="AB546" s="460">
        <f>'Punten per wedstrijd'!D223</f>
        <v>403.3</v>
      </c>
      <c r="AC546" s="332" t="s">
        <v>787</v>
      </c>
      <c r="AD546" s="63" t="s">
        <v>733</v>
      </c>
      <c r="AE546" s="63"/>
      <c r="AF546" s="460">
        <f>'Punten per wedstrijd'!D500</f>
        <v>182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60">
        <f>'Punten per wedstrijd'!D786</f>
        <v>0</v>
      </c>
      <c r="E547" s="332" t="s">
        <v>793</v>
      </c>
      <c r="F547" s="63" t="s">
        <v>738</v>
      </c>
      <c r="G547" s="63"/>
      <c r="H547" s="460">
        <f>'Punten per wedstrijd'!D178</f>
        <v>3072.9999999999977</v>
      </c>
      <c r="I547" s="332" t="s">
        <v>793</v>
      </c>
      <c r="J547" s="63" t="s">
        <v>162</v>
      </c>
      <c r="K547" s="63"/>
      <c r="L547" s="460">
        <f>'Punten per wedstrijd'!D354</f>
        <v>495.59999999999991</v>
      </c>
      <c r="M547" s="332" t="s">
        <v>793</v>
      </c>
      <c r="N547" s="278" t="s">
        <v>2011</v>
      </c>
      <c r="O547" s="63"/>
      <c r="P547" s="460">
        <f>'Punten per wedstrijd'!D559</f>
        <v>158.60000000000213</v>
      </c>
      <c r="Q547" s="332" t="s">
        <v>793</v>
      </c>
      <c r="R547" s="278" t="s">
        <v>2031</v>
      </c>
      <c r="S547" s="332"/>
      <c r="T547" s="460">
        <f>'Punten per wedstrijd'!D680</f>
        <v>0</v>
      </c>
      <c r="U547" s="332" t="s">
        <v>793</v>
      </c>
      <c r="V547" s="63" t="s">
        <v>3406</v>
      </c>
      <c r="W547" s="63"/>
      <c r="X547" s="460">
        <f>'Punten per wedstrijd'!D44</f>
        <v>2914.4</v>
      </c>
      <c r="Y547" s="332" t="s">
        <v>793</v>
      </c>
      <c r="Z547" s="63" t="s">
        <v>162</v>
      </c>
      <c r="AA547" s="63"/>
      <c r="AB547" s="460">
        <f>'Punten per wedstrijd'!D250</f>
        <v>401.09999999999997</v>
      </c>
      <c r="AC547" s="332" t="s">
        <v>793</v>
      </c>
      <c r="AD547" s="63" t="s">
        <v>3402</v>
      </c>
      <c r="AE547" s="63"/>
      <c r="AF547" s="460">
        <f>'Punten per wedstrijd'!D454</f>
        <v>178.4999999999996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3382</v>
      </c>
      <c r="C548" s="63"/>
      <c r="D548" s="460">
        <f>'Punten per wedstrijd'!D787</f>
        <v>0</v>
      </c>
      <c r="E548" s="332" t="s">
        <v>794</v>
      </c>
      <c r="F548" s="63" t="s">
        <v>762</v>
      </c>
      <c r="G548" s="63"/>
      <c r="H548" s="460">
        <f>'Punten per wedstrijd'!D162</f>
        <v>3070.3000000000011</v>
      </c>
      <c r="I548" s="332" t="s">
        <v>794</v>
      </c>
      <c r="J548" s="63" t="s">
        <v>3378</v>
      </c>
      <c r="K548" s="63"/>
      <c r="L548" s="460">
        <f>'Punten per wedstrijd'!D378</f>
        <v>494.79999999999984</v>
      </c>
      <c r="M548" s="332" t="s">
        <v>794</v>
      </c>
      <c r="N548" s="278" t="s">
        <v>2010</v>
      </c>
      <c r="O548" s="63"/>
      <c r="P548" s="460">
        <f>'Punten per wedstrijd'!D539</f>
        <v>157.49999999999994</v>
      </c>
      <c r="Q548" s="332" t="s">
        <v>794</v>
      </c>
      <c r="R548" s="219" t="s">
        <v>1644</v>
      </c>
      <c r="S548" s="332"/>
      <c r="T548" s="460">
        <f>'Punten per wedstrijd'!D681</f>
        <v>0</v>
      </c>
      <c r="U548" s="332" t="s">
        <v>794</v>
      </c>
      <c r="V548" s="219" t="s">
        <v>1652</v>
      </c>
      <c r="W548" s="63"/>
      <c r="X548" s="460">
        <f>'Punten per wedstrijd'!D9</f>
        <v>2912.6999999999966</v>
      </c>
      <c r="Y548" s="332" t="s">
        <v>794</v>
      </c>
      <c r="Z548" s="63" t="s">
        <v>779</v>
      </c>
      <c r="AA548" s="63"/>
      <c r="AB548" s="460">
        <f>'Punten per wedstrijd'!D285</f>
        <v>399</v>
      </c>
      <c r="AC548" s="332" t="s">
        <v>794</v>
      </c>
      <c r="AD548" s="63" t="s">
        <v>162</v>
      </c>
      <c r="AE548" s="63"/>
      <c r="AF548" s="460">
        <f>'Punten per wedstrijd'!D458</f>
        <v>177.69999999999951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3389</v>
      </c>
      <c r="C549" s="63"/>
      <c r="D549" s="460">
        <f>'Punten per wedstrijd'!D788</f>
        <v>0</v>
      </c>
      <c r="E549" s="332" t="s">
        <v>795</v>
      </c>
      <c r="F549" s="278" t="s">
        <v>23</v>
      </c>
      <c r="G549" s="63"/>
      <c r="H549" s="460">
        <f>'Punten per wedstrijd'!D166</f>
        <v>3046.2999999999984</v>
      </c>
      <c r="I549" s="332" t="s">
        <v>795</v>
      </c>
      <c r="J549" s="219" t="s">
        <v>1657</v>
      </c>
      <c r="K549" s="63"/>
      <c r="L549" s="460">
        <f>'Punten per wedstrijd'!D319</f>
        <v>493.24999999999926</v>
      </c>
      <c r="M549" s="332" t="s">
        <v>795</v>
      </c>
      <c r="N549" s="28" t="s">
        <v>143</v>
      </c>
      <c r="O549" s="63"/>
      <c r="P549" s="460">
        <f>'Punten per wedstrijd'!D615</f>
        <v>156.40000000000191</v>
      </c>
      <c r="Q549" s="332" t="s">
        <v>795</v>
      </c>
      <c r="R549" s="63" t="s">
        <v>762</v>
      </c>
      <c r="S549" s="332"/>
      <c r="T549" s="460">
        <f>'Punten per wedstrijd'!D682</f>
        <v>0</v>
      </c>
      <c r="U549" s="332" t="s">
        <v>795</v>
      </c>
      <c r="V549" s="219" t="s">
        <v>1655</v>
      </c>
      <c r="W549" s="63"/>
      <c r="X549" s="460">
        <f>'Punten per wedstrijd'!D30</f>
        <v>2901.2999999999984</v>
      </c>
      <c r="Y549" s="332" t="s">
        <v>795</v>
      </c>
      <c r="Z549" s="63" t="s">
        <v>3377</v>
      </c>
      <c r="AA549" s="63"/>
      <c r="AB549" s="460">
        <f>'Punten per wedstrijd'!D236</f>
        <v>389.90000000000009</v>
      </c>
      <c r="AC549" s="332" t="s">
        <v>795</v>
      </c>
      <c r="AD549" s="63" t="s">
        <v>763</v>
      </c>
      <c r="AE549" s="63"/>
      <c r="AF549" s="460">
        <f>'Punten per wedstrijd'!D477</f>
        <v>176.50000000000011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60">
        <f>'Punten per wedstrijd'!D789</f>
        <v>0</v>
      </c>
      <c r="E550" s="332" t="s">
        <v>797</v>
      </c>
      <c r="F550" s="63" t="s">
        <v>3380</v>
      </c>
      <c r="G550" s="63"/>
      <c r="H550" s="460">
        <f>'Punten per wedstrijd'!D151</f>
        <v>3036.2500000000018</v>
      </c>
      <c r="I550" s="332" t="s">
        <v>797</v>
      </c>
      <c r="J550" s="219" t="s">
        <v>1655</v>
      </c>
      <c r="K550" s="63"/>
      <c r="L550" s="460">
        <f>'Punten per wedstrijd'!D342</f>
        <v>490.20000000000067</v>
      </c>
      <c r="M550" s="332" t="s">
        <v>797</v>
      </c>
      <c r="N550" s="278" t="s">
        <v>2057</v>
      </c>
      <c r="O550" s="63"/>
      <c r="P550" s="460">
        <f>'Punten per wedstrijd'!D537</f>
        <v>156.099999999999</v>
      </c>
      <c r="Q550" s="332" t="s">
        <v>797</v>
      </c>
      <c r="R550" s="63" t="s">
        <v>3382</v>
      </c>
      <c r="S550" s="332"/>
      <c r="T550" s="460">
        <f>'Punten per wedstrijd'!D683</f>
        <v>0</v>
      </c>
      <c r="U550" s="332" t="s">
        <v>797</v>
      </c>
      <c r="V550" s="278" t="s">
        <v>2031</v>
      </c>
      <c r="W550" s="63"/>
      <c r="X550" s="460">
        <f>'Punten per wedstrijd'!D56</f>
        <v>2840.8999999999983</v>
      </c>
      <c r="Y550" s="332" t="s">
        <v>797</v>
      </c>
      <c r="Z550" s="63" t="s">
        <v>3376</v>
      </c>
      <c r="AA550" s="63"/>
      <c r="AB550" s="460">
        <f>'Punten per wedstrijd'!D228</f>
        <v>388.19999999999993</v>
      </c>
      <c r="AC550" s="332" t="s">
        <v>797</v>
      </c>
      <c r="AD550" s="63" t="s">
        <v>9</v>
      </c>
      <c r="AE550" s="63"/>
      <c r="AF550" s="460">
        <f>'Punten per wedstrijd'!D441</f>
        <v>176.39999999999989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60">
        <f>'Punten per wedstrijd'!D790</f>
        <v>0</v>
      </c>
      <c r="E551" s="332" t="s">
        <v>798</v>
      </c>
      <c r="F551" s="278" t="s">
        <v>2030</v>
      </c>
      <c r="G551" s="63"/>
      <c r="H551" s="460">
        <f>'Punten per wedstrijd'!D158</f>
        <v>3032.1999999999989</v>
      </c>
      <c r="I551" s="332" t="s">
        <v>798</v>
      </c>
      <c r="J551" s="63" t="s">
        <v>3380</v>
      </c>
      <c r="K551" s="63"/>
      <c r="L551" s="460">
        <f>'Punten per wedstrijd'!D359</f>
        <v>490.09999999999945</v>
      </c>
      <c r="M551" s="332" t="s">
        <v>798</v>
      </c>
      <c r="N551" s="63" t="s">
        <v>3388</v>
      </c>
      <c r="O551" s="63"/>
      <c r="P551" s="460">
        <f>'Punten per wedstrijd'!D605</f>
        <v>150.69999999999993</v>
      </c>
      <c r="Q551" s="332" t="s">
        <v>798</v>
      </c>
      <c r="R551" s="63" t="s">
        <v>3389</v>
      </c>
      <c r="S551" s="332"/>
      <c r="T551" s="460">
        <f>'Punten per wedstrijd'!D684</f>
        <v>0</v>
      </c>
      <c r="U551" s="332" t="s">
        <v>798</v>
      </c>
      <c r="V551" s="278" t="s">
        <v>2034</v>
      </c>
      <c r="W551" s="63"/>
      <c r="X551" s="460">
        <f>'Punten per wedstrijd'!D97</f>
        <v>2832.9999999999995</v>
      </c>
      <c r="Y551" s="332" t="s">
        <v>798</v>
      </c>
      <c r="Z551" s="63" t="s">
        <v>734</v>
      </c>
      <c r="AA551" s="63"/>
      <c r="AB551" s="460">
        <f>'Punten per wedstrijd'!D244</f>
        <v>386.89999999999975</v>
      </c>
      <c r="AC551" s="332" t="s">
        <v>798</v>
      </c>
      <c r="AD551" s="63" t="s">
        <v>3406</v>
      </c>
      <c r="AE551" s="63"/>
      <c r="AF551" s="460">
        <f>'Punten per wedstrijd'!D460</f>
        <v>171.00000000000068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60">
        <f>'Punten per wedstrijd'!D791</f>
        <v>0</v>
      </c>
      <c r="E552" s="332" t="s">
        <v>799</v>
      </c>
      <c r="F552" s="278" t="s">
        <v>2014</v>
      </c>
      <c r="G552" s="63"/>
      <c r="H552" s="460">
        <f>'Punten per wedstrijd'!D110</f>
        <v>3008.4999999999982</v>
      </c>
      <c r="I552" s="332" t="s">
        <v>799</v>
      </c>
      <c r="J552" s="63" t="s">
        <v>779</v>
      </c>
      <c r="K552" s="63"/>
      <c r="L552" s="460">
        <f>'Punten per wedstrijd'!D389</f>
        <v>489.69999999999936</v>
      </c>
      <c r="M552" s="332" t="s">
        <v>799</v>
      </c>
      <c r="N552" s="63" t="s">
        <v>3402</v>
      </c>
      <c r="O552" s="63"/>
      <c r="P552" s="460">
        <f>'Punten per wedstrijd'!D558</f>
        <v>150.00000000000114</v>
      </c>
      <c r="Q552" s="332" t="s">
        <v>799</v>
      </c>
      <c r="R552" s="63" t="s">
        <v>763</v>
      </c>
      <c r="S552" s="332"/>
      <c r="T552" s="460">
        <f>'Punten per wedstrijd'!D685</f>
        <v>0</v>
      </c>
      <c r="U552" s="332" t="s">
        <v>799</v>
      </c>
      <c r="V552" s="278" t="s">
        <v>33</v>
      </c>
      <c r="W552" s="63"/>
      <c r="X552" s="460">
        <f>'Punten per wedstrijd'!D93</f>
        <v>2830.9000000000015</v>
      </c>
      <c r="Y552" s="332" t="s">
        <v>799</v>
      </c>
      <c r="Z552" s="63" t="s">
        <v>3394</v>
      </c>
      <c r="AA552" s="63"/>
      <c r="AB552" s="460">
        <f>'Punten per wedstrijd'!D222</f>
        <v>385.59999999999997</v>
      </c>
      <c r="AC552" s="332" t="s">
        <v>799</v>
      </c>
      <c r="AD552" s="63" t="s">
        <v>3384</v>
      </c>
      <c r="AE552" s="63"/>
      <c r="AF552" s="460">
        <f>'Punten per wedstrijd'!D461</f>
        <v>169.49999999999983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60">
        <f>'Punten per wedstrijd'!D792</f>
        <v>0</v>
      </c>
      <c r="E553" s="332" t="s">
        <v>802</v>
      </c>
      <c r="F553" s="63" t="s">
        <v>757</v>
      </c>
      <c r="G553" s="63"/>
      <c r="H553" s="460">
        <f>'Punten per wedstrijd'!D145</f>
        <v>2998.0000000000036</v>
      </c>
      <c r="I553" s="332" t="s">
        <v>802</v>
      </c>
      <c r="J553" s="63" t="s">
        <v>3385</v>
      </c>
      <c r="K553" s="63"/>
      <c r="L553" s="460">
        <f>'Punten per wedstrijd'!D395</f>
        <v>487.5999999999998</v>
      </c>
      <c r="M553" s="332" t="s">
        <v>802</v>
      </c>
      <c r="N553" s="63" t="s">
        <v>738</v>
      </c>
      <c r="O553" s="63"/>
      <c r="P553" s="460">
        <f>'Punten per wedstrijd'!D594</f>
        <v>150.00000000000057</v>
      </c>
      <c r="Q553" s="332" t="s">
        <v>802</v>
      </c>
      <c r="R553" s="278" t="s">
        <v>23</v>
      </c>
      <c r="S553" s="332"/>
      <c r="T553" s="460">
        <f>'Punten per wedstrijd'!D686</f>
        <v>0</v>
      </c>
      <c r="U553" s="332" t="s">
        <v>802</v>
      </c>
      <c r="V553" s="63" t="s">
        <v>3384</v>
      </c>
      <c r="W553" s="63"/>
      <c r="X553" s="460">
        <f>'Punten per wedstrijd'!D45</f>
        <v>2827.7000000000021</v>
      </c>
      <c r="Y553" s="332" t="s">
        <v>802</v>
      </c>
      <c r="Z553" s="63" t="s">
        <v>3407</v>
      </c>
      <c r="AA553" s="63"/>
      <c r="AB553" s="460">
        <f>'Punten per wedstrijd'!D295</f>
        <v>378.9</v>
      </c>
      <c r="AC553" s="332" t="s">
        <v>802</v>
      </c>
      <c r="AD553" s="278" t="s">
        <v>2010</v>
      </c>
      <c r="AE553" s="63"/>
      <c r="AF553" s="460">
        <f>'Punten per wedstrijd'!D435</f>
        <v>167.10000000000036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60">
        <f>'Punten per wedstrijd'!D793</f>
        <v>0</v>
      </c>
      <c r="E554" s="332" t="s">
        <v>896</v>
      </c>
      <c r="F554" s="63" t="s">
        <v>3382</v>
      </c>
      <c r="G554" s="63"/>
      <c r="H554" s="460">
        <f>'Punten per wedstrijd'!D163</f>
        <v>2988.6000000000004</v>
      </c>
      <c r="I554" s="332" t="s">
        <v>896</v>
      </c>
      <c r="J554" s="63" t="s">
        <v>3383</v>
      </c>
      <c r="K554" s="63"/>
      <c r="L554" s="460">
        <f>'Punten per wedstrijd'!D367</f>
        <v>482.30000000000098</v>
      </c>
      <c r="M554" s="332" t="s">
        <v>896</v>
      </c>
      <c r="N554" s="63" t="s">
        <v>3380</v>
      </c>
      <c r="O554" s="63"/>
      <c r="P554" s="460">
        <f>'Punten per wedstrijd'!D567</f>
        <v>148.5999999999994</v>
      </c>
      <c r="Q554" s="332" t="s">
        <v>896</v>
      </c>
      <c r="R554" s="278" t="s">
        <v>25</v>
      </c>
      <c r="S554" s="332"/>
      <c r="T554" s="460">
        <f>'Punten per wedstrijd'!D687</f>
        <v>0</v>
      </c>
      <c r="U554" s="332" t="s">
        <v>896</v>
      </c>
      <c r="V554" s="63" t="s">
        <v>3379</v>
      </c>
      <c r="W554" s="63"/>
      <c r="X554" s="460">
        <f>'Punten per wedstrijd'!D23</f>
        <v>2827.5999999999995</v>
      </c>
      <c r="Y554" s="332" t="s">
        <v>896</v>
      </c>
      <c r="Z554" s="63" t="s">
        <v>3389</v>
      </c>
      <c r="AA554" s="63"/>
      <c r="AB554" s="460">
        <f>'Punten per wedstrijd'!D268</f>
        <v>374.1</v>
      </c>
      <c r="AC554" s="332" t="s">
        <v>896</v>
      </c>
      <c r="AD554" s="278" t="s">
        <v>2027</v>
      </c>
      <c r="AE554" s="63"/>
      <c r="AF554" s="460">
        <f>'Punten per wedstrijd'!D429</f>
        <v>166.99999999999955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3378</v>
      </c>
      <c r="C555" s="63"/>
      <c r="D555" s="460">
        <f>'Punten per wedstrijd'!D794</f>
        <v>0</v>
      </c>
      <c r="E555" s="332" t="s">
        <v>897</v>
      </c>
      <c r="F555" s="63" t="s">
        <v>734</v>
      </c>
      <c r="G555" s="63"/>
      <c r="H555" s="460">
        <f>'Punten per wedstrijd'!D140</f>
        <v>2979.2000000000012</v>
      </c>
      <c r="I555" s="332" t="s">
        <v>897</v>
      </c>
      <c r="J555" s="219" t="s">
        <v>1653</v>
      </c>
      <c r="K555" s="63"/>
      <c r="L555" s="460">
        <f>'Punten per wedstrijd'!D327</f>
        <v>477.40000000000009</v>
      </c>
      <c r="M555" s="332" t="s">
        <v>897</v>
      </c>
      <c r="N555" s="63" t="s">
        <v>3379</v>
      </c>
      <c r="O555" s="63"/>
      <c r="P555" s="460">
        <f>'Punten per wedstrijd'!D543</f>
        <v>147.19999999999951</v>
      </c>
      <c r="Q555" s="332" t="s">
        <v>897</v>
      </c>
      <c r="R555" s="219" t="s">
        <v>1656</v>
      </c>
      <c r="S555" s="332"/>
      <c r="T555" s="460">
        <f>'Punten per wedstrijd'!D689</f>
        <v>0</v>
      </c>
      <c r="U555" s="332" t="s">
        <v>897</v>
      </c>
      <c r="V555" s="63" t="s">
        <v>3387</v>
      </c>
      <c r="W555" s="63"/>
      <c r="X555" s="460">
        <f>'Punten per wedstrijd'!D33</f>
        <v>2825.8999999999996</v>
      </c>
      <c r="Y555" s="332" t="s">
        <v>897</v>
      </c>
      <c r="Z555" s="63" t="s">
        <v>3381</v>
      </c>
      <c r="AA555" s="63"/>
      <c r="AB555" s="460">
        <f>'Punten per wedstrijd'!D251</f>
        <v>360.3</v>
      </c>
      <c r="AC555" s="332" t="s">
        <v>897</v>
      </c>
      <c r="AD555" s="28" t="s">
        <v>142</v>
      </c>
      <c r="AE555" s="63"/>
      <c r="AF555" s="460">
        <f>'Punten per wedstrijd'!D489</f>
        <v>166.7999999999995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60">
        <f>'Punten per wedstrijd'!D795</f>
        <v>0</v>
      </c>
      <c r="E556" s="332" t="s">
        <v>898</v>
      </c>
      <c r="F556" s="28" t="s">
        <v>143</v>
      </c>
      <c r="G556" s="63"/>
      <c r="H556" s="460">
        <f>'Punten per wedstrijd'!D199</f>
        <v>2971.3999999999951</v>
      </c>
      <c r="I556" s="332" t="s">
        <v>898</v>
      </c>
      <c r="J556" s="63" t="s">
        <v>3379</v>
      </c>
      <c r="K556" s="63"/>
      <c r="L556" s="460">
        <f>'Punten per wedstrijd'!D335</f>
        <v>477.09999999999923</v>
      </c>
      <c r="M556" s="332" t="s">
        <v>898</v>
      </c>
      <c r="N556" s="219" t="s">
        <v>1643</v>
      </c>
      <c r="O556" s="63"/>
      <c r="P556" s="460">
        <f>'Punten per wedstrijd'!D566</f>
        <v>146.2000000000005</v>
      </c>
      <c r="Q556" s="332" t="s">
        <v>898</v>
      </c>
      <c r="R556" s="63" t="s">
        <v>3378</v>
      </c>
      <c r="S556" s="332"/>
      <c r="T556" s="460">
        <f>'Punten per wedstrijd'!D690</f>
        <v>0</v>
      </c>
      <c r="U556" s="332" t="s">
        <v>898</v>
      </c>
      <c r="V556" s="278" t="s">
        <v>2161</v>
      </c>
      <c r="W556" s="63"/>
      <c r="X556" s="460">
        <f>'Punten per wedstrijd'!D82</f>
        <v>2780.1999999999962</v>
      </c>
      <c r="Y556" s="332" t="s">
        <v>898</v>
      </c>
      <c r="Z556" s="63" t="s">
        <v>3402</v>
      </c>
      <c r="AA556" s="63"/>
      <c r="AB556" s="460">
        <f>'Punten per wedstrijd'!D246</f>
        <v>358.49999999999994</v>
      </c>
      <c r="AC556" s="332" t="s">
        <v>898</v>
      </c>
      <c r="AD556" s="278" t="s">
        <v>2054</v>
      </c>
      <c r="AE556" s="63"/>
      <c r="AF556" s="460">
        <f>'Punten per wedstrijd'!D494</f>
        <v>166.40000000000066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60">
        <f>'Punten per wedstrijd'!D796</f>
        <v>0</v>
      </c>
      <c r="E557" s="332" t="s">
        <v>899</v>
      </c>
      <c r="F557" s="63" t="s">
        <v>3390</v>
      </c>
      <c r="G557" s="63"/>
      <c r="H557" s="460">
        <f>'Punten per wedstrijd'!D175</f>
        <v>2964.5000000000018</v>
      </c>
      <c r="I557" s="332" t="s">
        <v>899</v>
      </c>
      <c r="J557" s="278" t="s">
        <v>3374</v>
      </c>
      <c r="K557" s="63"/>
      <c r="L557" s="460">
        <f>'Punten per wedstrijd'!D415</f>
        <v>475.69999999999993</v>
      </c>
      <c r="M557" s="332" t="s">
        <v>899</v>
      </c>
      <c r="N557" s="63" t="s">
        <v>757</v>
      </c>
      <c r="O557" s="63"/>
      <c r="P557" s="460">
        <f>'Punten per wedstrijd'!D561</f>
        <v>144.39999999999981</v>
      </c>
      <c r="Q557" s="332" t="s">
        <v>899</v>
      </c>
      <c r="R557" s="63" t="s">
        <v>746</v>
      </c>
      <c r="S557" s="332"/>
      <c r="T557" s="460">
        <f>'Punten per wedstrijd'!D691</f>
        <v>0</v>
      </c>
      <c r="U557" s="332" t="s">
        <v>899</v>
      </c>
      <c r="V557" s="278" t="s">
        <v>2015</v>
      </c>
      <c r="W557" s="63"/>
      <c r="X557" s="460">
        <f>'Punten per wedstrijd'!D32</f>
        <v>2776.650000000001</v>
      </c>
      <c r="Y557" s="332" t="s">
        <v>899</v>
      </c>
      <c r="Z557" s="63" t="s">
        <v>755</v>
      </c>
      <c r="AA557" s="63"/>
      <c r="AB557" s="460">
        <f>'Punten per wedstrijd'!D299</f>
        <v>357.7</v>
      </c>
      <c r="AC557" s="332" t="s">
        <v>899</v>
      </c>
      <c r="AD557" s="219" t="s">
        <v>1660</v>
      </c>
      <c r="AE557" s="63"/>
      <c r="AF557" s="460">
        <f>'Punten per wedstrijd'!D491</f>
        <v>161.79999999999882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60">
        <f>'Punten per wedstrijd'!D797</f>
        <v>0</v>
      </c>
      <c r="E558" s="332" t="s">
        <v>900</v>
      </c>
      <c r="F558" s="278" t="s">
        <v>27</v>
      </c>
      <c r="G558" s="63"/>
      <c r="H558" s="460">
        <f>'Punten per wedstrijd'!D172</f>
        <v>2962.8</v>
      </c>
      <c r="I558" s="332" t="s">
        <v>900</v>
      </c>
      <c r="J558" s="219" t="s">
        <v>1643</v>
      </c>
      <c r="K558" s="63"/>
      <c r="L558" s="460">
        <f>'Punten per wedstrijd'!D358</f>
        <v>474.39999999999986</v>
      </c>
      <c r="M558" s="332" t="s">
        <v>900</v>
      </c>
      <c r="N558" s="278" t="s">
        <v>3373</v>
      </c>
      <c r="O558" s="63"/>
      <c r="P558" s="460">
        <f>'Punten per wedstrijd'!D573</f>
        <v>142.19999999999925</v>
      </c>
      <c r="Q558" s="332" t="s">
        <v>900</v>
      </c>
      <c r="R558" s="278" t="s">
        <v>27</v>
      </c>
      <c r="S558" s="332"/>
      <c r="T558" s="460">
        <f>'Punten per wedstrijd'!D692</f>
        <v>0</v>
      </c>
      <c r="U558" s="332" t="s">
        <v>900</v>
      </c>
      <c r="V558" s="28" t="s">
        <v>143</v>
      </c>
      <c r="W558" s="63"/>
      <c r="X558" s="460">
        <f>'Punten per wedstrijd'!D95</f>
        <v>2759.5999999999967</v>
      </c>
      <c r="Y558" s="332" t="s">
        <v>900</v>
      </c>
      <c r="Z558" s="63" t="s">
        <v>3378</v>
      </c>
      <c r="AA558" s="63"/>
      <c r="AB558" s="460">
        <f>'Punten per wedstrijd'!D274</f>
        <v>357.60000000000025</v>
      </c>
      <c r="AC558" s="332" t="s">
        <v>900</v>
      </c>
      <c r="AD558" s="63" t="s">
        <v>3377</v>
      </c>
      <c r="AE558" s="63"/>
      <c r="AF558" s="460">
        <f>'Punten per wedstrijd'!D444</f>
        <v>161.69999999999993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60">
        <f>'Punten per wedstrijd'!D798</f>
        <v>0</v>
      </c>
      <c r="E559" s="332" t="s">
        <v>901</v>
      </c>
      <c r="F559" s="63" t="s">
        <v>3387</v>
      </c>
      <c r="G559" s="63"/>
      <c r="H559" s="460">
        <f>'Punten per wedstrijd'!D137</f>
        <v>2941.6499999999996</v>
      </c>
      <c r="I559" s="332" t="s">
        <v>901</v>
      </c>
      <c r="J559" s="63" t="s">
        <v>3393</v>
      </c>
      <c r="K559" s="63"/>
      <c r="L559" s="460">
        <f>'Punten per wedstrijd'!D336</f>
        <v>474.3000000000003</v>
      </c>
      <c r="M559" s="332" t="s">
        <v>901</v>
      </c>
      <c r="N559" s="278" t="s">
        <v>2027</v>
      </c>
      <c r="O559" s="63"/>
      <c r="P559" s="460">
        <f>'Punten per wedstrijd'!D533</f>
        <v>141.80000000000047</v>
      </c>
      <c r="Q559" s="332" t="s">
        <v>901</v>
      </c>
      <c r="R559" s="63" t="s">
        <v>778</v>
      </c>
      <c r="S559" s="332"/>
      <c r="T559" s="460">
        <f>'Punten per wedstrijd'!D693</f>
        <v>0</v>
      </c>
      <c r="U559" s="332" t="s">
        <v>901</v>
      </c>
      <c r="V559" s="278" t="s">
        <v>1</v>
      </c>
      <c r="W559" s="63"/>
      <c r="X559" s="460">
        <f>'Punten per wedstrijd'!D12</f>
        <v>2744.099999999999</v>
      </c>
      <c r="Y559" s="332" t="s">
        <v>901</v>
      </c>
      <c r="Z559" s="219" t="s">
        <v>1655</v>
      </c>
      <c r="AA559" s="63"/>
      <c r="AB559" s="460">
        <f>'Punten per wedstrijd'!D238</f>
        <v>356.90000000000009</v>
      </c>
      <c r="AC559" s="332" t="s">
        <v>901</v>
      </c>
      <c r="AD559" s="63" t="s">
        <v>3394</v>
      </c>
      <c r="AE559" s="63"/>
      <c r="AF559" s="460">
        <f>'Punten per wedstrijd'!D430</f>
        <v>160.90000000000029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3390</v>
      </c>
      <c r="C560" s="63"/>
      <c r="D560" s="460">
        <f>'Punten per wedstrijd'!D799</f>
        <v>0</v>
      </c>
      <c r="E560" s="332" t="s">
        <v>902</v>
      </c>
      <c r="F560" s="278" t="s">
        <v>2011</v>
      </c>
      <c r="G560" s="63"/>
      <c r="H560" s="460">
        <f>'Punten per wedstrijd'!D143</f>
        <v>2918.4</v>
      </c>
      <c r="I560" s="332" t="s">
        <v>902</v>
      </c>
      <c r="J560" s="63" t="s">
        <v>790</v>
      </c>
      <c r="K560" s="63"/>
      <c r="L560" s="460">
        <f>'Punten per wedstrijd'!D401</f>
        <v>473.10000000000008</v>
      </c>
      <c r="M560" s="332" t="s">
        <v>902</v>
      </c>
      <c r="N560" s="63" t="s">
        <v>3403</v>
      </c>
      <c r="O560" s="63"/>
      <c r="P560" s="460">
        <f>'Punten per wedstrijd'!D619</f>
        <v>136.59999999999854</v>
      </c>
      <c r="Q560" s="332" t="s">
        <v>902</v>
      </c>
      <c r="R560" s="63" t="s">
        <v>154</v>
      </c>
      <c r="S560" s="332"/>
      <c r="T560" s="460">
        <f>'Punten per wedstrijd'!D694</f>
        <v>0</v>
      </c>
      <c r="U560" s="332" t="s">
        <v>902</v>
      </c>
      <c r="V560" s="63" t="s">
        <v>783</v>
      </c>
      <c r="W560" s="63"/>
      <c r="X560" s="460">
        <f>'Punten per wedstrijd'!D34</f>
        <v>2721.7000000000007</v>
      </c>
      <c r="Y560" s="332" t="s">
        <v>902</v>
      </c>
      <c r="Z560" s="278" t="s">
        <v>2030</v>
      </c>
      <c r="AA560" s="63"/>
      <c r="AB560" s="460">
        <f>'Punten per wedstrijd'!D262</f>
        <v>355.7</v>
      </c>
      <c r="AC560" s="332" t="s">
        <v>902</v>
      </c>
      <c r="AD560" s="63" t="s">
        <v>155</v>
      </c>
      <c r="AE560" s="63"/>
      <c r="AF560" s="460">
        <f>'Punten per wedstrijd'!D517</f>
        <v>158.60000000000085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60">
        <f>'Punten per wedstrijd'!D800</f>
        <v>0</v>
      </c>
      <c r="E561" s="332" t="s">
        <v>903</v>
      </c>
      <c r="F561" s="278" t="s">
        <v>2015</v>
      </c>
      <c r="G561" s="63"/>
      <c r="H561" s="460">
        <f>'Punten per wedstrijd'!D136</f>
        <v>2870.8</v>
      </c>
      <c r="I561" s="332" t="s">
        <v>903</v>
      </c>
      <c r="J561" s="278" t="s">
        <v>2054</v>
      </c>
      <c r="K561" s="63"/>
      <c r="L561" s="460">
        <f>'Punten per wedstrijd'!D390</f>
        <v>466.60000000000025</v>
      </c>
      <c r="M561" s="332" t="s">
        <v>903</v>
      </c>
      <c r="N561" s="219" t="s">
        <v>1657</v>
      </c>
      <c r="O561" s="63"/>
      <c r="P561" s="460">
        <f>'Punten per wedstrijd'!D527</f>
        <v>135.59999999999923</v>
      </c>
      <c r="Q561" s="332" t="s">
        <v>903</v>
      </c>
      <c r="R561" s="63" t="s">
        <v>3390</v>
      </c>
      <c r="S561" s="332"/>
      <c r="T561" s="460">
        <f>'Punten per wedstrijd'!D695</f>
        <v>0</v>
      </c>
      <c r="U561" s="332" t="s">
        <v>903</v>
      </c>
      <c r="V561" s="63" t="s">
        <v>180</v>
      </c>
      <c r="W561" s="63"/>
      <c r="X561" s="460">
        <f>'Punten per wedstrijd'!D98</f>
        <v>2720.3000000000006</v>
      </c>
      <c r="Y561" s="332" t="s">
        <v>903</v>
      </c>
      <c r="Z561" s="278" t="s">
        <v>4520</v>
      </c>
      <c r="AA561" s="63"/>
      <c r="AB561" s="460">
        <f>'Punten per wedstrijd'!D257</f>
        <v>354.90000000000015</v>
      </c>
      <c r="AC561" s="332" t="s">
        <v>903</v>
      </c>
      <c r="AD561" s="63" t="s">
        <v>757</v>
      </c>
      <c r="AE561" s="63"/>
      <c r="AF561" s="460">
        <f>'Punten per wedstrijd'!D457</f>
        <v>156.50000000000011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60">
        <f>'Punten per wedstrijd'!D801</f>
        <v>0</v>
      </c>
      <c r="E562" s="332" t="s">
        <v>904</v>
      </c>
      <c r="F562" s="63" t="s">
        <v>3383</v>
      </c>
      <c r="G562" s="63"/>
      <c r="H562" s="460">
        <f>'Punten per wedstrijd'!D159</f>
        <v>2860.3999999999933</v>
      </c>
      <c r="I562" s="332" t="s">
        <v>904</v>
      </c>
      <c r="J562" s="63" t="s">
        <v>757</v>
      </c>
      <c r="K562" s="63"/>
      <c r="L562" s="460">
        <f>'Punten per wedstrijd'!D353</f>
        <v>462.29999999999956</v>
      </c>
      <c r="M562" s="332" t="s">
        <v>904</v>
      </c>
      <c r="N562" s="278" t="s">
        <v>27</v>
      </c>
      <c r="O562" s="63"/>
      <c r="P562" s="460">
        <f>'Punten per wedstrijd'!D588</f>
        <v>135.29999999999959</v>
      </c>
      <c r="Q562" s="332" t="s">
        <v>904</v>
      </c>
      <c r="R562" s="63" t="s">
        <v>764</v>
      </c>
      <c r="S562" s="332"/>
      <c r="T562" s="460">
        <f>'Punten per wedstrijd'!D696</f>
        <v>0</v>
      </c>
      <c r="U562" s="332" t="s">
        <v>904</v>
      </c>
      <c r="V562" s="278" t="s">
        <v>31</v>
      </c>
      <c r="W562" s="63"/>
      <c r="X562" s="460">
        <f>'Punten per wedstrijd'!D88</f>
        <v>2719.0999999999958</v>
      </c>
      <c r="Y562" s="332" t="s">
        <v>904</v>
      </c>
      <c r="Z562" s="278" t="s">
        <v>13</v>
      </c>
      <c r="AA562" s="63"/>
      <c r="AB562" s="460">
        <f>'Punten per wedstrijd'!D243</f>
        <v>354.19999999999987</v>
      </c>
      <c r="AC562" s="332" t="s">
        <v>904</v>
      </c>
      <c r="AD562" s="278" t="s">
        <v>2007</v>
      </c>
      <c r="AE562" s="63"/>
      <c r="AF562" s="460">
        <f>'Punten per wedstrijd'!D424</f>
        <v>153.79999999999961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60">
        <f>'Punten per wedstrijd'!D802</f>
        <v>0</v>
      </c>
      <c r="E563" s="332" t="s">
        <v>905</v>
      </c>
      <c r="F563" s="63" t="s">
        <v>3405</v>
      </c>
      <c r="G563" s="63"/>
      <c r="H563" s="460">
        <f>'Punten per wedstrijd'!D180</f>
        <v>2850.5000000000009</v>
      </c>
      <c r="I563" s="332" t="s">
        <v>905</v>
      </c>
      <c r="J563" s="219" t="s">
        <v>1660</v>
      </c>
      <c r="K563" s="63"/>
      <c r="L563" s="460">
        <f>'Punten per wedstrijd'!D387</f>
        <v>459.19999999999993</v>
      </c>
      <c r="M563" s="332" t="s">
        <v>905</v>
      </c>
      <c r="N563" s="278" t="s">
        <v>2054</v>
      </c>
      <c r="O563" s="63"/>
      <c r="P563" s="460">
        <f>'Punten per wedstrijd'!D598</f>
        <v>133.99999999999972</v>
      </c>
      <c r="Q563" s="332" t="s">
        <v>905</v>
      </c>
      <c r="R563" s="28" t="s">
        <v>142</v>
      </c>
      <c r="S563" s="332"/>
      <c r="T563" s="460">
        <f>'Punten per wedstrijd'!D697</f>
        <v>0</v>
      </c>
      <c r="U563" s="332" t="s">
        <v>905</v>
      </c>
      <c r="V563" s="63" t="s">
        <v>728</v>
      </c>
      <c r="W563" s="63"/>
      <c r="X563" s="460">
        <f>'Punten per wedstrijd'!D31</f>
        <v>2711.6999999999985</v>
      </c>
      <c r="Y563" s="332" t="s">
        <v>905</v>
      </c>
      <c r="Z563" s="219" t="s">
        <v>1654</v>
      </c>
      <c r="AA563" s="63"/>
      <c r="AB563" s="460">
        <f>'Punten per wedstrijd'!D272</f>
        <v>352.30000000000013</v>
      </c>
      <c r="AC563" s="332" t="s">
        <v>905</v>
      </c>
      <c r="AD563" s="278" t="s">
        <v>3373</v>
      </c>
      <c r="AE563" s="63"/>
      <c r="AF563" s="460">
        <f>'Punten per wedstrijd'!D469</f>
        <v>153.1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60">
        <f>'Punten per wedstrijd'!D803</f>
        <v>0</v>
      </c>
      <c r="E564" s="332" t="s">
        <v>906</v>
      </c>
      <c r="F564" s="278" t="s">
        <v>2022</v>
      </c>
      <c r="G564" s="63"/>
      <c r="H564" s="460">
        <f>'Punten per wedstrijd'!D130</f>
        <v>2831.8000000000034</v>
      </c>
      <c r="I564" s="332" t="s">
        <v>906</v>
      </c>
      <c r="J564" s="278" t="s">
        <v>2015</v>
      </c>
      <c r="K564" s="63"/>
      <c r="L564" s="460">
        <f>'Punten per wedstrijd'!D344</f>
        <v>457.1</v>
      </c>
      <c r="M564" s="332" t="s">
        <v>906</v>
      </c>
      <c r="N564" s="63" t="s">
        <v>796</v>
      </c>
      <c r="O564" s="63"/>
      <c r="P564" s="460">
        <f>'Punten per wedstrijd'!D570</f>
        <v>132.70000000000005</v>
      </c>
      <c r="Q564" s="332" t="s">
        <v>906</v>
      </c>
      <c r="R564" s="63" t="s">
        <v>738</v>
      </c>
      <c r="S564" s="332"/>
      <c r="T564" s="460">
        <f>'Punten per wedstrijd'!D698</f>
        <v>0</v>
      </c>
      <c r="U564" s="332" t="s">
        <v>906</v>
      </c>
      <c r="V564" s="28" t="s">
        <v>21</v>
      </c>
      <c r="W564" s="63"/>
      <c r="X564" s="460">
        <f>'Punten per wedstrijd'!D51</f>
        <v>2711.1999999999971</v>
      </c>
      <c r="Y564" s="332" t="s">
        <v>906</v>
      </c>
      <c r="Z564" s="63" t="s">
        <v>154</v>
      </c>
      <c r="AA564" s="63"/>
      <c r="AB564" s="460">
        <f>'Punten per wedstrijd'!D278</f>
        <v>347.69999999999982</v>
      </c>
      <c r="AC564" s="332" t="s">
        <v>906</v>
      </c>
      <c r="AD564" s="63" t="s">
        <v>3386</v>
      </c>
      <c r="AE564" s="63"/>
      <c r="AF564" s="460">
        <f>'Punten per wedstrijd'!D421</f>
        <v>151.49999999999986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3405</v>
      </c>
      <c r="C565" s="63"/>
      <c r="D565" s="460">
        <f>'Punten per wedstrijd'!D804</f>
        <v>0</v>
      </c>
      <c r="E565" s="332" t="s">
        <v>907</v>
      </c>
      <c r="F565" s="278" t="s">
        <v>2161</v>
      </c>
      <c r="G565" s="63"/>
      <c r="H565" s="460">
        <f>'Punten per wedstrijd'!D186</f>
        <v>2795.2999999999979</v>
      </c>
      <c r="I565" s="332" t="s">
        <v>907</v>
      </c>
      <c r="J565" s="63" t="s">
        <v>3388</v>
      </c>
      <c r="K565" s="63"/>
      <c r="L565" s="460">
        <f>'Punten per wedstrijd'!D397</f>
        <v>448.30000000000035</v>
      </c>
      <c r="M565" s="332" t="s">
        <v>907</v>
      </c>
      <c r="N565" s="63" t="s">
        <v>748</v>
      </c>
      <c r="O565" s="63"/>
      <c r="P565" s="460">
        <f>'Punten per wedstrijd'!D600</f>
        <v>128.59999999999991</v>
      </c>
      <c r="Q565" s="332" t="s">
        <v>907</v>
      </c>
      <c r="R565" s="219" t="s">
        <v>1660</v>
      </c>
      <c r="S565" s="332"/>
      <c r="T565" s="460">
        <f>'Punten per wedstrijd'!D699</f>
        <v>0</v>
      </c>
      <c r="U565" s="332" t="s">
        <v>907</v>
      </c>
      <c r="V565" s="278" t="s">
        <v>2054</v>
      </c>
      <c r="W565" s="63"/>
      <c r="X565" s="460">
        <f>'Punten per wedstrijd'!D78</f>
        <v>2708.4999999999982</v>
      </c>
      <c r="Y565" s="332" t="s">
        <v>907</v>
      </c>
      <c r="Z565" s="63" t="s">
        <v>746</v>
      </c>
      <c r="AA565" s="63"/>
      <c r="AB565" s="460">
        <f>'Punten per wedstrijd'!D275</f>
        <v>346.09999999999962</v>
      </c>
      <c r="AC565" s="332" t="s">
        <v>907</v>
      </c>
      <c r="AD565" s="63" t="s">
        <v>779</v>
      </c>
      <c r="AE565" s="63"/>
      <c r="AF565" s="460">
        <f>'Punten per wedstrijd'!D493</f>
        <v>150.90000000000072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60">
        <f>'Punten per wedstrijd'!D805</f>
        <v>0</v>
      </c>
      <c r="E566" s="332" t="s">
        <v>908</v>
      </c>
      <c r="F566" s="63" t="s">
        <v>728</v>
      </c>
      <c r="G566" s="63"/>
      <c r="H566" s="460">
        <f>'Punten per wedstrijd'!D135</f>
        <v>2791.8999999999978</v>
      </c>
      <c r="I566" s="332" t="s">
        <v>908</v>
      </c>
      <c r="J566" s="63" t="s">
        <v>3376</v>
      </c>
      <c r="K566" s="63"/>
      <c r="L566" s="460">
        <f>'Punten per wedstrijd'!D332</f>
        <v>446.59999999999968</v>
      </c>
      <c r="M566" s="332" t="s">
        <v>908</v>
      </c>
      <c r="N566" s="63" t="s">
        <v>3377</v>
      </c>
      <c r="O566" s="63"/>
      <c r="P566" s="460">
        <f>'Punten per wedstrijd'!D548</f>
        <v>128.39999999999989</v>
      </c>
      <c r="Q566" s="332" t="s">
        <v>908</v>
      </c>
      <c r="R566" s="63" t="s">
        <v>3405</v>
      </c>
      <c r="S566" s="332"/>
      <c r="T566" s="460">
        <f>'Punten per wedstrijd'!D700</f>
        <v>0</v>
      </c>
      <c r="U566" s="332" t="s">
        <v>908</v>
      </c>
      <c r="V566" s="219" t="s">
        <v>1660</v>
      </c>
      <c r="W566" s="63"/>
      <c r="X566" s="460">
        <f>'Punten per wedstrijd'!D75</f>
        <v>2699.7999999999984</v>
      </c>
      <c r="Y566" s="332" t="s">
        <v>908</v>
      </c>
      <c r="Z566" s="63" t="s">
        <v>180</v>
      </c>
      <c r="AA566" s="63"/>
      <c r="AB566" s="460">
        <f>'Punten per wedstrijd'!D306</f>
        <v>339.70000000000005</v>
      </c>
      <c r="AC566" s="332" t="s">
        <v>908</v>
      </c>
      <c r="AD566" s="63" t="s">
        <v>3380</v>
      </c>
      <c r="AE566" s="63"/>
      <c r="AF566" s="460">
        <f>'Punten per wedstrijd'!D463</f>
        <v>149.89999999999941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2054</v>
      </c>
      <c r="C567" s="63"/>
      <c r="D567" s="460">
        <f>'Punten per wedstrijd'!D806</f>
        <v>0</v>
      </c>
      <c r="E567" s="332" t="s">
        <v>909</v>
      </c>
      <c r="F567" s="63" t="s">
        <v>782</v>
      </c>
      <c r="G567" s="63"/>
      <c r="H567" s="460">
        <f>'Punten per wedstrijd'!D196</f>
        <v>2735.5000000000009</v>
      </c>
      <c r="I567" s="332" t="s">
        <v>909</v>
      </c>
      <c r="J567" s="219" t="s">
        <v>1656</v>
      </c>
      <c r="K567" s="63"/>
      <c r="L567" s="460">
        <f>'Punten per wedstrijd'!D377</f>
        <v>446.29999999999961</v>
      </c>
      <c r="M567" s="332" t="s">
        <v>909</v>
      </c>
      <c r="N567" s="278" t="s">
        <v>2034</v>
      </c>
      <c r="O567" s="63"/>
      <c r="P567" s="460">
        <f>'Punten per wedstrijd'!D617</f>
        <v>125.90000000000009</v>
      </c>
      <c r="Q567" s="332" t="s">
        <v>909</v>
      </c>
      <c r="R567" s="63" t="s">
        <v>779</v>
      </c>
      <c r="S567" s="332"/>
      <c r="T567" s="460">
        <f>'Punten per wedstrijd'!D701</f>
        <v>0</v>
      </c>
      <c r="U567" s="332" t="s">
        <v>909</v>
      </c>
      <c r="V567" s="278" t="s">
        <v>37</v>
      </c>
      <c r="W567" s="63"/>
      <c r="X567" s="460">
        <f>'Punten per wedstrijd'!D94</f>
        <v>2692.3000000000043</v>
      </c>
      <c r="Y567" s="332" t="s">
        <v>909</v>
      </c>
      <c r="Z567" s="278" t="s">
        <v>2006</v>
      </c>
      <c r="AA567" s="63"/>
      <c r="AB567" s="460">
        <f>'Punten per wedstrijd'!D294</f>
        <v>338.5</v>
      </c>
      <c r="AC567" s="332" t="s">
        <v>909</v>
      </c>
      <c r="AD567" s="63" t="s">
        <v>800</v>
      </c>
      <c r="AE567" s="63"/>
      <c r="AF567" s="460">
        <f>'Punten per wedstrijd'!D464</f>
        <v>149.20000000000027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60">
        <f>'Punten per wedstrijd'!D807</f>
        <v>0</v>
      </c>
      <c r="E568" s="332" t="s">
        <v>910</v>
      </c>
      <c r="F568" s="63" t="s">
        <v>764</v>
      </c>
      <c r="G568" s="63"/>
      <c r="H568" s="460">
        <f>'Punten per wedstrijd'!D176</f>
        <v>2725.2999999999993</v>
      </c>
      <c r="I568" s="332" t="s">
        <v>910</v>
      </c>
      <c r="J568" s="63" t="s">
        <v>800</v>
      </c>
      <c r="K568" s="63"/>
      <c r="L568" s="460">
        <f>'Punten per wedstrijd'!D360</f>
        <v>445.60000000000025</v>
      </c>
      <c r="M568" s="332" t="s">
        <v>910</v>
      </c>
      <c r="N568" s="278" t="s">
        <v>2007</v>
      </c>
      <c r="O568" s="63"/>
      <c r="P568" s="460">
        <f>'Punten per wedstrijd'!D528</f>
        <v>122.10000000000035</v>
      </c>
      <c r="Q568" s="332" t="s">
        <v>910</v>
      </c>
      <c r="R568" s="278" t="s">
        <v>2054</v>
      </c>
      <c r="S568" s="332"/>
      <c r="T568" s="460">
        <f>'Punten per wedstrijd'!D702</f>
        <v>0</v>
      </c>
      <c r="U568" s="332" t="s">
        <v>910</v>
      </c>
      <c r="V568" s="63" t="s">
        <v>782</v>
      </c>
      <c r="W568" s="63"/>
      <c r="X568" s="460">
        <f>'Punten per wedstrijd'!D92</f>
        <v>2685.1000000000013</v>
      </c>
      <c r="Y568" s="332" t="s">
        <v>910</v>
      </c>
      <c r="Z568" s="278" t="s">
        <v>2027</v>
      </c>
      <c r="AA568" s="63"/>
      <c r="AB568" s="460">
        <f>'Punten per wedstrijd'!D221</f>
        <v>336.89999999999986</v>
      </c>
      <c r="AC568" s="332" t="s">
        <v>910</v>
      </c>
      <c r="AD568" s="278" t="s">
        <v>2056</v>
      </c>
      <c r="AE568" s="63"/>
      <c r="AF568" s="460">
        <f>'Punten per wedstrijd'!D497</f>
        <v>146.7000000000001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60">
        <f>'Punten per wedstrijd'!D808</f>
        <v>0</v>
      </c>
      <c r="E569" s="332" t="s">
        <v>911</v>
      </c>
      <c r="F569" s="63" t="s">
        <v>153</v>
      </c>
      <c r="G569" s="63"/>
      <c r="H569" s="460">
        <f>'Punten per wedstrijd'!D125</f>
        <v>2698.2999999999961</v>
      </c>
      <c r="I569" s="332" t="s">
        <v>911</v>
      </c>
      <c r="J569" s="63" t="s">
        <v>733</v>
      </c>
      <c r="K569" s="63"/>
      <c r="L569" s="460">
        <f>'Punten per wedstrijd'!D396</f>
        <v>442.35</v>
      </c>
      <c r="M569" s="332" t="s">
        <v>911</v>
      </c>
      <c r="N569" s="219" t="s">
        <v>1644</v>
      </c>
      <c r="O569" s="63"/>
      <c r="P569" s="460">
        <f>'Punten per wedstrijd'!D577</f>
        <v>118.6500000000005</v>
      </c>
      <c r="Q569" s="332" t="s">
        <v>911</v>
      </c>
      <c r="R569" s="63" t="s">
        <v>749</v>
      </c>
      <c r="S569" s="332"/>
      <c r="T569" s="460">
        <f>'Punten per wedstrijd'!D703</f>
        <v>0</v>
      </c>
      <c r="U569" s="332" t="s">
        <v>911</v>
      </c>
      <c r="V569" s="63" t="s">
        <v>155</v>
      </c>
      <c r="W569" s="63"/>
      <c r="X569" s="460">
        <f>'Punten per wedstrijd'!D101</f>
        <v>2622.2000000000044</v>
      </c>
      <c r="Y569" s="332" t="s">
        <v>911</v>
      </c>
      <c r="Z569" s="63" t="s">
        <v>771</v>
      </c>
      <c r="AA569" s="63"/>
      <c r="AB569" s="460">
        <f>'Punten per wedstrijd'!D224</f>
        <v>333.80000000000007</v>
      </c>
      <c r="AC569" s="332" t="s">
        <v>911</v>
      </c>
      <c r="AD569" s="278" t="s">
        <v>15</v>
      </c>
      <c r="AE569" s="63"/>
      <c r="AF569" s="460">
        <f>'Punten per wedstrijd'!D453</f>
        <v>145.70000000000002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2056</v>
      </c>
      <c r="C570" s="63"/>
      <c r="D570" s="460">
        <f>'Punten per wedstrijd'!D809</f>
        <v>0</v>
      </c>
      <c r="E570" s="332" t="s">
        <v>912</v>
      </c>
      <c r="F570" s="278" t="s">
        <v>2057</v>
      </c>
      <c r="G570" s="63"/>
      <c r="H570" s="460">
        <f>'Punten per wedstrijd'!D121</f>
        <v>2697.8</v>
      </c>
      <c r="I570" s="332" t="s">
        <v>912</v>
      </c>
      <c r="J570" s="63" t="s">
        <v>771</v>
      </c>
      <c r="K570" s="63"/>
      <c r="L570" s="460">
        <f>'Punten per wedstrijd'!D328</f>
        <v>441.30000000000041</v>
      </c>
      <c r="M570" s="332" t="s">
        <v>912</v>
      </c>
      <c r="N570" s="63" t="s">
        <v>3391</v>
      </c>
      <c r="O570" s="63"/>
      <c r="P570" s="460">
        <f>'Punten per wedstrijd'!D610</f>
        <v>112.59999999999972</v>
      </c>
      <c r="Q570" s="332" t="s">
        <v>912</v>
      </c>
      <c r="R570" s="63" t="s">
        <v>748</v>
      </c>
      <c r="S570" s="332"/>
      <c r="T570" s="460">
        <f>'Punten per wedstrijd'!D704</f>
        <v>0</v>
      </c>
      <c r="U570" s="332" t="s">
        <v>912</v>
      </c>
      <c r="V570" s="63" t="s">
        <v>3388</v>
      </c>
      <c r="W570" s="63"/>
      <c r="X570" s="460">
        <f>'Punten per wedstrijd'!D85</f>
        <v>2616.2999999999975</v>
      </c>
      <c r="Y570" s="332" t="s">
        <v>912</v>
      </c>
      <c r="Z570" s="63" t="s">
        <v>778</v>
      </c>
      <c r="AA570" s="63"/>
      <c r="AB570" s="460">
        <f>'Punten per wedstrijd'!D277</f>
        <v>330.39999999999986</v>
      </c>
      <c r="AC570" s="332" t="s">
        <v>912</v>
      </c>
      <c r="AD570" s="63" t="s">
        <v>3378</v>
      </c>
      <c r="AE570" s="63"/>
      <c r="AF570" s="460">
        <f>'Punten per wedstrijd'!D482</f>
        <v>141.90000000000049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2161</v>
      </c>
      <c r="C571" s="63"/>
      <c r="D571" s="460">
        <f>'Punten per wedstrijd'!D810</f>
        <v>0</v>
      </c>
      <c r="E571" s="332" t="s">
        <v>913</v>
      </c>
      <c r="F571" s="63" t="s">
        <v>763</v>
      </c>
      <c r="G571" s="63"/>
      <c r="H571" s="460">
        <f>'Punten per wedstrijd'!D165</f>
        <v>2685.7000000000021</v>
      </c>
      <c r="I571" s="332" t="s">
        <v>913</v>
      </c>
      <c r="J571" s="278" t="s">
        <v>2007</v>
      </c>
      <c r="K571" s="63"/>
      <c r="L571" s="460">
        <f>'Punten per wedstrijd'!D320</f>
        <v>438.2000000000005</v>
      </c>
      <c r="M571" s="332" t="s">
        <v>913</v>
      </c>
      <c r="N571" s="278" t="s">
        <v>13</v>
      </c>
      <c r="O571" s="63"/>
      <c r="P571" s="460">
        <f>'Punten per wedstrijd'!D555</f>
        <v>112.49999999999949</v>
      </c>
      <c r="Q571" s="332" t="s">
        <v>913</v>
      </c>
      <c r="R571" s="278" t="s">
        <v>2056</v>
      </c>
      <c r="S571" s="332"/>
      <c r="T571" s="460">
        <f>'Punten per wedstrijd'!D705</f>
        <v>0</v>
      </c>
      <c r="U571" s="332" t="s">
        <v>913</v>
      </c>
      <c r="V571" s="219" t="s">
        <v>1647</v>
      </c>
      <c r="W571" s="63"/>
      <c r="X571" s="460">
        <f>'Punten per wedstrijd'!D10</f>
        <v>2607.6999999999966</v>
      </c>
      <c r="Y571" s="332" t="s">
        <v>913</v>
      </c>
      <c r="Z571" s="278" t="s">
        <v>33</v>
      </c>
      <c r="AA571" s="63"/>
      <c r="AB571" s="460">
        <f>'Punten per wedstrijd'!D301</f>
        <v>329.20000000000022</v>
      </c>
      <c r="AC571" s="332" t="s">
        <v>913</v>
      </c>
      <c r="AD571" s="278" t="s">
        <v>2030</v>
      </c>
      <c r="AE571" s="63"/>
      <c r="AF571" s="460">
        <f>'Punten per wedstrijd'!D470</f>
        <v>138.39999999999989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3385</v>
      </c>
      <c r="C572" s="63"/>
      <c r="D572" s="460">
        <f>'Punten per wedstrijd'!D811</f>
        <v>0</v>
      </c>
      <c r="E572" s="332" t="s">
        <v>914</v>
      </c>
      <c r="F572" s="278" t="s">
        <v>13</v>
      </c>
      <c r="G572" s="63"/>
      <c r="H572" s="460">
        <f>'Punten per wedstrijd'!D139</f>
        <v>2663.6000000000013</v>
      </c>
      <c r="I572" s="332" t="s">
        <v>914</v>
      </c>
      <c r="J572" s="63" t="s">
        <v>3407</v>
      </c>
      <c r="K572" s="63"/>
      <c r="L572" s="460">
        <f>'Punten per wedstrijd'!D399</f>
        <v>436.7</v>
      </c>
      <c r="M572" s="332" t="s">
        <v>914</v>
      </c>
      <c r="N572" s="63" t="s">
        <v>3378</v>
      </c>
      <c r="O572" s="63"/>
      <c r="P572" s="460">
        <f>'Punten per wedstrijd'!D586</f>
        <v>109.89999999999998</v>
      </c>
      <c r="Q572" s="332" t="s">
        <v>914</v>
      </c>
      <c r="R572" s="278" t="s">
        <v>2161</v>
      </c>
      <c r="S572" s="332"/>
      <c r="T572" s="460">
        <f>'Punten per wedstrijd'!D706</f>
        <v>0</v>
      </c>
      <c r="U572" s="332" t="s">
        <v>914</v>
      </c>
      <c r="V572" s="63" t="s">
        <v>778</v>
      </c>
      <c r="W572" s="63"/>
      <c r="X572" s="460">
        <f>'Punten per wedstrijd'!D69</f>
        <v>2577.7000000000003</v>
      </c>
      <c r="Y572" s="332" t="s">
        <v>914</v>
      </c>
      <c r="Z572" s="63" t="s">
        <v>753</v>
      </c>
      <c r="AA572" s="63"/>
      <c r="AB572" s="460">
        <f>'Punten per wedstrijd'!D310</f>
        <v>324.89999999999998</v>
      </c>
      <c r="AC572" s="332" t="s">
        <v>914</v>
      </c>
      <c r="AD572" s="63" t="s">
        <v>753</v>
      </c>
      <c r="AE572" s="63"/>
      <c r="AF572" s="460">
        <f>'Punten per wedstrijd'!D518</f>
        <v>134.89999999999992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60">
        <f>'Punten per wedstrijd'!D812</f>
        <v>0</v>
      </c>
      <c r="E573" s="332" t="s">
        <v>915</v>
      </c>
      <c r="F573" s="63" t="s">
        <v>3377</v>
      </c>
      <c r="G573" s="63"/>
      <c r="H573" s="460">
        <f>'Punten per wedstrijd'!D132</f>
        <v>2635.2000000000012</v>
      </c>
      <c r="I573" s="332" t="s">
        <v>915</v>
      </c>
      <c r="J573" s="63" t="s">
        <v>762</v>
      </c>
      <c r="K573" s="63"/>
      <c r="L573" s="460">
        <f>'Punten per wedstrijd'!D370</f>
        <v>435.69999999999931</v>
      </c>
      <c r="M573" s="332" t="s">
        <v>915</v>
      </c>
      <c r="N573" s="63" t="s">
        <v>154</v>
      </c>
      <c r="O573" s="63"/>
      <c r="P573" s="460">
        <f>'Punten per wedstrijd'!D590</f>
        <v>109.69999999999959</v>
      </c>
      <c r="Q573" s="332" t="s">
        <v>915</v>
      </c>
      <c r="R573" s="63" t="s">
        <v>3385</v>
      </c>
      <c r="S573" s="332"/>
      <c r="T573" s="460">
        <f>'Punten per wedstrijd'!D707</f>
        <v>0</v>
      </c>
      <c r="U573" s="332" t="s">
        <v>915</v>
      </c>
      <c r="V573" s="63" t="s">
        <v>3375</v>
      </c>
      <c r="W573" s="63"/>
      <c r="X573" s="460">
        <f>'Punten per wedstrijd'!D11</f>
        <v>2561.300000000002</v>
      </c>
      <c r="Y573" s="332" t="s">
        <v>915</v>
      </c>
      <c r="Z573" s="63" t="s">
        <v>3380</v>
      </c>
      <c r="AA573" s="63"/>
      <c r="AB573" s="460">
        <f>'Punten per wedstrijd'!D255</f>
        <v>322.99999999999994</v>
      </c>
      <c r="AC573" s="332" t="s">
        <v>915</v>
      </c>
      <c r="AD573" s="63" t="s">
        <v>3388</v>
      </c>
      <c r="AE573" s="63"/>
      <c r="AF573" s="460">
        <f>'Punten per wedstrijd'!D501</f>
        <v>134.10000000000014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3388</v>
      </c>
      <c r="C574" s="63"/>
      <c r="D574" s="460">
        <f>'Punten per wedstrijd'!D813</f>
        <v>0</v>
      </c>
      <c r="E574" s="332" t="s">
        <v>916</v>
      </c>
      <c r="F574" s="63" t="s">
        <v>771</v>
      </c>
      <c r="G574" s="63"/>
      <c r="H574" s="460">
        <f>'Punten per wedstrijd'!D120</f>
        <v>2587.6000000000013</v>
      </c>
      <c r="I574" s="332" t="s">
        <v>916</v>
      </c>
      <c r="J574" s="278" t="s">
        <v>2029</v>
      </c>
      <c r="K574" s="63"/>
      <c r="L574" s="460">
        <f>'Punten per wedstrijd'!D341</f>
        <v>434.49999999999966</v>
      </c>
      <c r="M574" s="332" t="s">
        <v>916</v>
      </c>
      <c r="N574" s="63" t="s">
        <v>782</v>
      </c>
      <c r="O574" s="63"/>
      <c r="P574" s="460">
        <f>'Punten per wedstrijd'!D612</f>
        <v>105.59999999999982</v>
      </c>
      <c r="Q574" s="332" t="s">
        <v>916</v>
      </c>
      <c r="R574" s="63" t="s">
        <v>733</v>
      </c>
      <c r="S574" s="332"/>
      <c r="T574" s="460">
        <f>'Punten per wedstrijd'!D708</f>
        <v>0</v>
      </c>
      <c r="U574" s="332" t="s">
        <v>916</v>
      </c>
      <c r="V574" s="63" t="s">
        <v>755</v>
      </c>
      <c r="W574" s="63"/>
      <c r="X574" s="460">
        <f>'Punten per wedstrijd'!D91</f>
        <v>2543.5000000000009</v>
      </c>
      <c r="Y574" s="332" t="s">
        <v>916</v>
      </c>
      <c r="Z574" s="219" t="s">
        <v>1660</v>
      </c>
      <c r="AA574" s="63"/>
      <c r="AB574" s="460">
        <f>'Punten per wedstrijd'!D283</f>
        <v>318.30000000000007</v>
      </c>
      <c r="AC574" s="332" t="s">
        <v>916</v>
      </c>
      <c r="AD574" s="63" t="s">
        <v>734</v>
      </c>
      <c r="AE574" s="63"/>
      <c r="AF574" s="460">
        <f>'Punten per wedstrijd'!D452</f>
        <v>132.09999999999991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2006</v>
      </c>
      <c r="C575" s="63"/>
      <c r="D575" s="460">
        <f>'Punten per wedstrijd'!D814</f>
        <v>0</v>
      </c>
      <c r="E575" s="332" t="s">
        <v>917</v>
      </c>
      <c r="F575" s="63" t="s">
        <v>3381</v>
      </c>
      <c r="G575" s="63"/>
      <c r="H575" s="460">
        <f>'Punten per wedstrijd'!D147</f>
        <v>2567.1999999999998</v>
      </c>
      <c r="I575" s="332" t="s">
        <v>917</v>
      </c>
      <c r="J575" s="278" t="s">
        <v>23</v>
      </c>
      <c r="K575" s="63"/>
      <c r="L575" s="460">
        <f>'Punten per wedstrijd'!D374</f>
        <v>433.09999999999991</v>
      </c>
      <c r="M575" s="332" t="s">
        <v>917</v>
      </c>
      <c r="N575" s="219" t="s">
        <v>1660</v>
      </c>
      <c r="O575" s="63"/>
      <c r="P575" s="460">
        <f>'Punten per wedstrijd'!D595</f>
        <v>102.10000000000014</v>
      </c>
      <c r="Q575" s="332" t="s">
        <v>917</v>
      </c>
      <c r="R575" s="63" t="s">
        <v>3388</v>
      </c>
      <c r="S575" s="332"/>
      <c r="T575" s="460">
        <f>'Punten per wedstrijd'!D709</f>
        <v>0</v>
      </c>
      <c r="U575" s="332" t="s">
        <v>917</v>
      </c>
      <c r="V575" s="63" t="s">
        <v>3385</v>
      </c>
      <c r="W575" s="63"/>
      <c r="X575" s="460">
        <f>'Punten per wedstrijd'!D83</f>
        <v>2523.0999999999967</v>
      </c>
      <c r="Y575" s="332" t="s">
        <v>917</v>
      </c>
      <c r="Z575" s="278" t="s">
        <v>2011</v>
      </c>
      <c r="AA575" s="63"/>
      <c r="AB575" s="460">
        <f>'Punten per wedstrijd'!D247</f>
        <v>317.70000000000022</v>
      </c>
      <c r="AC575" s="332" t="s">
        <v>917</v>
      </c>
      <c r="AD575" s="219" t="s">
        <v>1644</v>
      </c>
      <c r="AE575" s="63"/>
      <c r="AF575" s="460">
        <f>'Punten per wedstrijd'!D473</f>
        <v>129.50000000000014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3407</v>
      </c>
      <c r="C576" s="63"/>
      <c r="D576" s="460">
        <f>'Punten per wedstrijd'!D815</f>
        <v>0</v>
      </c>
      <c r="E576" s="332" t="s">
        <v>918</v>
      </c>
      <c r="F576" s="63" t="s">
        <v>796</v>
      </c>
      <c r="G576" s="63"/>
      <c r="H576" s="460">
        <f>'Punten per wedstrijd'!D154</f>
        <v>2556.1999999999971</v>
      </c>
      <c r="I576" s="332" t="s">
        <v>918</v>
      </c>
      <c r="J576" s="63" t="s">
        <v>755</v>
      </c>
      <c r="K576" s="63"/>
      <c r="L576" s="460">
        <f>'Punten per wedstrijd'!D403</f>
        <v>422.49999999999983</v>
      </c>
      <c r="M576" s="332" t="s">
        <v>918</v>
      </c>
      <c r="N576" s="63" t="s">
        <v>3386</v>
      </c>
      <c r="O576" s="63"/>
      <c r="P576" s="460">
        <f>'Punten per wedstrijd'!D525</f>
        <v>99.800000000000182</v>
      </c>
      <c r="Q576" s="332" t="s">
        <v>918</v>
      </c>
      <c r="R576" s="278" t="s">
        <v>2006</v>
      </c>
      <c r="S576" s="332"/>
      <c r="T576" s="460">
        <f>'Punten per wedstrijd'!D710</f>
        <v>0</v>
      </c>
      <c r="U576" s="332" t="s">
        <v>918</v>
      </c>
      <c r="V576" s="219" t="s">
        <v>1643</v>
      </c>
      <c r="W576" s="63"/>
      <c r="X576" s="460">
        <f>'Punten per wedstrijd'!D46</f>
        <v>2508.6999999999985</v>
      </c>
      <c r="Y576" s="332" t="s">
        <v>918</v>
      </c>
      <c r="Z576" s="278" t="s">
        <v>25</v>
      </c>
      <c r="AA576" s="63"/>
      <c r="AB576" s="460">
        <f>'Punten per wedstrijd'!D271</f>
        <v>305.90000000000015</v>
      </c>
      <c r="AC576" s="332" t="s">
        <v>918</v>
      </c>
      <c r="AD576" s="63" t="s">
        <v>788</v>
      </c>
      <c r="AE576" s="63"/>
      <c r="AF576" s="460">
        <f>'Punten per wedstrijd'!D434</f>
        <v>128.29999999999987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60">
        <f>'Punten per wedstrijd'!D816</f>
        <v>0</v>
      </c>
      <c r="E577" s="332" t="s">
        <v>919</v>
      </c>
      <c r="F577" s="63" t="s">
        <v>3376</v>
      </c>
      <c r="G577" s="63"/>
      <c r="H577" s="460">
        <f>'Punten per wedstrijd'!D124</f>
        <v>2491.7000000000021</v>
      </c>
      <c r="I577" s="332" t="s">
        <v>919</v>
      </c>
      <c r="J577" s="63" t="s">
        <v>738</v>
      </c>
      <c r="K577" s="63"/>
      <c r="L577" s="460">
        <f>'Punten per wedstrijd'!D386</f>
        <v>420.4000000000002</v>
      </c>
      <c r="M577" s="332" t="s">
        <v>919</v>
      </c>
      <c r="N577" s="63" t="s">
        <v>728</v>
      </c>
      <c r="O577" s="63"/>
      <c r="P577" s="460">
        <f>'Punten per wedstrijd'!D551</f>
        <v>92.500000000001364</v>
      </c>
      <c r="Q577" s="332" t="s">
        <v>919</v>
      </c>
      <c r="R577" s="63" t="s">
        <v>3407</v>
      </c>
      <c r="S577" s="332"/>
      <c r="T577" s="460">
        <f>'Punten per wedstrijd'!D711</f>
        <v>0</v>
      </c>
      <c r="U577" s="332" t="s">
        <v>919</v>
      </c>
      <c r="V577" s="63" t="s">
        <v>154</v>
      </c>
      <c r="W577" s="63"/>
      <c r="X577" s="460">
        <f>'Punten per wedstrijd'!D70</f>
        <v>2508.6000000000026</v>
      </c>
      <c r="Y577" s="332" t="s">
        <v>919</v>
      </c>
      <c r="Z577" s="219" t="s">
        <v>1652</v>
      </c>
      <c r="AA577" s="63"/>
      <c r="AB577" s="460">
        <f>'Punten per wedstrijd'!D217</f>
        <v>301.79999999999973</v>
      </c>
      <c r="AC577" s="332" t="s">
        <v>919</v>
      </c>
      <c r="AD577" s="63" t="s">
        <v>782</v>
      </c>
      <c r="AE577" s="63"/>
      <c r="AF577" s="460">
        <f>'Punten per wedstrijd'!D508</f>
        <v>127.60000000000042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60">
        <f>'Punten per wedstrijd'!D817</f>
        <v>0</v>
      </c>
      <c r="E578" s="332" t="s">
        <v>920</v>
      </c>
      <c r="F578" s="219" t="s">
        <v>1656</v>
      </c>
      <c r="G578" s="63"/>
      <c r="H578" s="460">
        <f>'Punten per wedstrijd'!D169</f>
        <v>2487.1999999999989</v>
      </c>
      <c r="I578" s="332" t="s">
        <v>920</v>
      </c>
      <c r="J578" s="278" t="s">
        <v>15</v>
      </c>
      <c r="K578" s="63"/>
      <c r="L578" s="460">
        <f>'Punten per wedstrijd'!D349</f>
        <v>416.5000000000008</v>
      </c>
      <c r="M578" s="332" t="s">
        <v>920</v>
      </c>
      <c r="N578" s="63" t="s">
        <v>771</v>
      </c>
      <c r="O578" s="63"/>
      <c r="P578" s="460">
        <f>'Punten per wedstrijd'!D536</f>
        <v>91.600000000000023</v>
      </c>
      <c r="Q578" s="332" t="s">
        <v>920</v>
      </c>
      <c r="R578" s="278" t="s">
        <v>31</v>
      </c>
      <c r="S578" s="332"/>
      <c r="T578" s="460">
        <f>'Punten per wedstrijd'!D712</f>
        <v>0</v>
      </c>
      <c r="U578" s="332" t="s">
        <v>920</v>
      </c>
      <c r="V578" s="63" t="s">
        <v>3376</v>
      </c>
      <c r="W578" s="63"/>
      <c r="X578" s="460">
        <f>'Punten per wedstrijd'!D20</f>
        <v>2449.4999999999991</v>
      </c>
      <c r="Y578" s="332" t="s">
        <v>920</v>
      </c>
      <c r="Z578" s="278" t="s">
        <v>2056</v>
      </c>
      <c r="AA578" s="63"/>
      <c r="AB578" s="460">
        <f>'Punten per wedstrijd'!D289</f>
        <v>298.89999999999998</v>
      </c>
      <c r="AC578" s="332" t="s">
        <v>920</v>
      </c>
      <c r="AD578" s="63" t="s">
        <v>764</v>
      </c>
      <c r="AE578" s="63"/>
      <c r="AF578" s="460">
        <f>'Punten per wedstrijd'!D488</f>
        <v>127.10000000000001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3391</v>
      </c>
      <c r="C579" s="63"/>
      <c r="D579" s="460">
        <f>'Punten per wedstrijd'!D818</f>
        <v>0</v>
      </c>
      <c r="E579" s="332" t="s">
        <v>921</v>
      </c>
      <c r="F579" s="278" t="s">
        <v>3373</v>
      </c>
      <c r="G579" s="63"/>
      <c r="H579" s="460">
        <f>'Punten per wedstrijd'!D157</f>
        <v>2437.2000000000035</v>
      </c>
      <c r="I579" s="332" t="s">
        <v>921</v>
      </c>
      <c r="J579" s="219" t="s">
        <v>1659</v>
      </c>
      <c r="K579" s="63"/>
      <c r="L579" s="460">
        <f>'Punten per wedstrijd'!D412</f>
        <v>414.39999999999964</v>
      </c>
      <c r="M579" s="332" t="s">
        <v>921</v>
      </c>
      <c r="N579" s="63" t="s">
        <v>3384</v>
      </c>
      <c r="O579" s="63"/>
      <c r="P579" s="460">
        <f>'Punten per wedstrijd'!D565</f>
        <v>88.89999999999992</v>
      </c>
      <c r="Q579" s="332" t="s">
        <v>921</v>
      </c>
      <c r="R579" s="63" t="s">
        <v>790</v>
      </c>
      <c r="S579" s="332"/>
      <c r="T579" s="460">
        <f>'Punten per wedstrijd'!D713</f>
        <v>0</v>
      </c>
      <c r="U579" s="332" t="s">
        <v>921</v>
      </c>
      <c r="V579" s="219" t="s">
        <v>1644</v>
      </c>
      <c r="W579" s="63"/>
      <c r="X579" s="460">
        <f>'Punten per wedstrijd'!D57</f>
        <v>2280.7999999999993</v>
      </c>
      <c r="Y579" s="332" t="s">
        <v>921</v>
      </c>
      <c r="Z579" s="63" t="s">
        <v>782</v>
      </c>
      <c r="AA579" s="63"/>
      <c r="AB579" s="460">
        <f>'Punten per wedstrijd'!D300</f>
        <v>290.7</v>
      </c>
      <c r="AC579" s="332" t="s">
        <v>921</v>
      </c>
      <c r="AD579" s="278" t="s">
        <v>2029</v>
      </c>
      <c r="AE579" s="63"/>
      <c r="AF579" s="460">
        <f>'Punten per wedstrijd'!D445</f>
        <v>125.30000000000015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60">
        <f>'Punten per wedstrijd'!D819</f>
        <v>0</v>
      </c>
      <c r="E580" s="332" t="s">
        <v>922</v>
      </c>
      <c r="F580" s="63" t="s">
        <v>3386</v>
      </c>
      <c r="G580" s="63"/>
      <c r="H580" s="460">
        <f>'Punten per wedstrijd'!D109</f>
        <v>2436.7000000000012</v>
      </c>
      <c r="I580" s="332" t="s">
        <v>922</v>
      </c>
      <c r="J580" s="63" t="s">
        <v>3390</v>
      </c>
      <c r="K580" s="63"/>
      <c r="L580" s="460">
        <f>'Punten per wedstrijd'!D383</f>
        <v>406.09999999999928</v>
      </c>
      <c r="M580" s="332" t="s">
        <v>922</v>
      </c>
      <c r="N580" s="278" t="s">
        <v>11</v>
      </c>
      <c r="O580" s="63"/>
      <c r="P580" s="460">
        <f>'Punten per wedstrijd'!D547</f>
        <v>86.199999999999818</v>
      </c>
      <c r="Q580" s="332" t="s">
        <v>922</v>
      </c>
      <c r="R580" s="63" t="s">
        <v>3391</v>
      </c>
      <c r="S580" s="332"/>
      <c r="T580" s="460">
        <f>'Punten per wedstrijd'!D714</f>
        <v>0</v>
      </c>
      <c r="U580" s="332" t="s">
        <v>922</v>
      </c>
      <c r="V580" s="63" t="s">
        <v>749</v>
      </c>
      <c r="W580" s="63"/>
      <c r="X580" s="460">
        <f>'Punten per wedstrijd'!D79</f>
        <v>2249.8999999999996</v>
      </c>
      <c r="Y580" s="332" t="s">
        <v>922</v>
      </c>
      <c r="Z580" s="63" t="s">
        <v>141</v>
      </c>
      <c r="AA580" s="63"/>
      <c r="AB580" s="460">
        <f>'Punten per wedstrijd'!D260</f>
        <v>289.00000000000017</v>
      </c>
      <c r="AC580" s="332" t="s">
        <v>922</v>
      </c>
      <c r="AD580" s="278" t="s">
        <v>2014</v>
      </c>
      <c r="AE580" s="63"/>
      <c r="AF580" s="460">
        <f>'Punten per wedstrijd'!D422</f>
        <v>124.69999999999966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60">
        <f>'Punten per wedstrijd'!D820</f>
        <v>0</v>
      </c>
      <c r="E581" s="332" t="s">
        <v>923</v>
      </c>
      <c r="F581" s="63" t="s">
        <v>3407</v>
      </c>
      <c r="G581" s="63"/>
      <c r="H581" s="460">
        <f>'Punten per wedstrijd'!D191</f>
        <v>2245.85</v>
      </c>
      <c r="I581" s="332" t="s">
        <v>923</v>
      </c>
      <c r="J581" s="278" t="s">
        <v>27</v>
      </c>
      <c r="K581" s="63"/>
      <c r="L581" s="460">
        <f>'Punten per wedstrijd'!D380</f>
        <v>402.50000000000017</v>
      </c>
      <c r="M581" s="332" t="s">
        <v>923</v>
      </c>
      <c r="N581" s="278" t="s">
        <v>23</v>
      </c>
      <c r="O581" s="63"/>
      <c r="P581" s="460">
        <f>'Punten per wedstrijd'!D582</f>
        <v>86.099999999999113</v>
      </c>
      <c r="Q581" s="332" t="s">
        <v>923</v>
      </c>
      <c r="R581" s="63" t="s">
        <v>755</v>
      </c>
      <c r="S581" s="332"/>
      <c r="T581" s="460">
        <f>'Punten per wedstrijd'!D715</f>
        <v>0</v>
      </c>
      <c r="U581" s="332" t="s">
        <v>923</v>
      </c>
      <c r="V581" s="63" t="s">
        <v>733</v>
      </c>
      <c r="W581" s="63"/>
      <c r="X581" s="460">
        <f>'Punten per wedstrijd'!D84</f>
        <v>2236.4000000000024</v>
      </c>
      <c r="Y581" s="332" t="s">
        <v>923</v>
      </c>
      <c r="Z581" s="63" t="s">
        <v>3391</v>
      </c>
      <c r="AA581" s="63"/>
      <c r="AB581" s="460">
        <f>'Punten per wedstrijd'!D298</f>
        <v>286.70000000000005</v>
      </c>
      <c r="AC581" s="332" t="s">
        <v>923</v>
      </c>
      <c r="AD581" s="63" t="s">
        <v>3379</v>
      </c>
      <c r="AE581" s="63"/>
      <c r="AF581" s="460">
        <f>'Punten per wedstrijd'!D439</f>
        <v>123.39999999999985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60">
        <f>'Punten per wedstrijd'!D821</f>
        <v>0</v>
      </c>
      <c r="E582" s="332" t="s">
        <v>924</v>
      </c>
      <c r="F582" s="278" t="s">
        <v>2028</v>
      </c>
      <c r="G582" s="63"/>
      <c r="H582" s="460">
        <f>'Punten per wedstrijd'!D126</f>
        <v>2196.4999999999955</v>
      </c>
      <c r="I582" s="332" t="s">
        <v>924</v>
      </c>
      <c r="J582" s="63" t="s">
        <v>153</v>
      </c>
      <c r="K582" s="63"/>
      <c r="L582" s="460">
        <f>'Punten per wedstrijd'!D333</f>
        <v>398.50000000000057</v>
      </c>
      <c r="M582" s="332" t="s">
        <v>924</v>
      </c>
      <c r="N582" s="63" t="s">
        <v>788</v>
      </c>
      <c r="O582" s="63"/>
      <c r="P582" s="460">
        <f>'Punten per wedstrijd'!D538</f>
        <v>85.500000000000057</v>
      </c>
      <c r="Q582" s="332" t="s">
        <v>924</v>
      </c>
      <c r="R582" s="63" t="s">
        <v>782</v>
      </c>
      <c r="S582" s="332"/>
      <c r="T582" s="460">
        <f>'Punten per wedstrijd'!D716</f>
        <v>0</v>
      </c>
      <c r="U582" s="332" t="s">
        <v>924</v>
      </c>
      <c r="V582" s="63" t="s">
        <v>753</v>
      </c>
      <c r="W582" s="63"/>
      <c r="X582" s="460">
        <f>'Punten per wedstrijd'!D102</f>
        <v>2165.8999999999992</v>
      </c>
      <c r="Y582" s="332" t="s">
        <v>924</v>
      </c>
      <c r="Z582" s="278" t="s">
        <v>1</v>
      </c>
      <c r="AA582" s="63"/>
      <c r="AB582" s="460">
        <f>'Punten per wedstrijd'!D220</f>
        <v>286.20000000000005</v>
      </c>
      <c r="AC582" s="332" t="s">
        <v>924</v>
      </c>
      <c r="AD582" s="63" t="s">
        <v>746</v>
      </c>
      <c r="AE582" s="63"/>
      <c r="AF582" s="460">
        <f>'Punten per wedstrijd'!D483</f>
        <v>123.00000000000011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60">
        <f>'Punten per wedstrijd'!D822</f>
        <v>0</v>
      </c>
      <c r="E583" s="332" t="s">
        <v>925</v>
      </c>
      <c r="F583" s="63" t="s">
        <v>790</v>
      </c>
      <c r="G583" s="63"/>
      <c r="H583" s="460">
        <f>'Punten per wedstrijd'!D193</f>
        <v>2179.7999999999988</v>
      </c>
      <c r="I583" s="332" t="s">
        <v>925</v>
      </c>
      <c r="J583" s="278" t="s">
        <v>1</v>
      </c>
      <c r="K583" s="63"/>
      <c r="L583" s="460">
        <f>'Punten per wedstrijd'!D324</f>
        <v>398.50000000000028</v>
      </c>
      <c r="M583" s="332" t="s">
        <v>925</v>
      </c>
      <c r="N583" s="63" t="s">
        <v>180</v>
      </c>
      <c r="O583" s="63"/>
      <c r="P583" s="460">
        <f>'Punten per wedstrijd'!D618</f>
        <v>84.599999999999568</v>
      </c>
      <c r="Q583" s="332" t="s">
        <v>925</v>
      </c>
      <c r="R583" s="278" t="s">
        <v>33</v>
      </c>
      <c r="S583" s="332"/>
      <c r="T583" s="460">
        <f>'Punten per wedstrijd'!D717</f>
        <v>0</v>
      </c>
      <c r="U583" s="332" t="s">
        <v>925</v>
      </c>
      <c r="V583" s="278" t="s">
        <v>2030</v>
      </c>
      <c r="W583" s="63"/>
      <c r="X583" s="460">
        <f>'Punten per wedstrijd'!D54</f>
        <v>2123.0000000000009</v>
      </c>
      <c r="Y583" s="332" t="s">
        <v>925</v>
      </c>
      <c r="Z583" s="278" t="s">
        <v>27</v>
      </c>
      <c r="AA583" s="63"/>
      <c r="AB583" s="460">
        <f>'Punten per wedstrijd'!D276</f>
        <v>286.00000000000017</v>
      </c>
      <c r="AC583" s="332" t="s">
        <v>925</v>
      </c>
      <c r="AD583" s="278" t="s">
        <v>17</v>
      </c>
      <c r="AE583" s="63"/>
      <c r="AF583" s="460">
        <f>'Punten per wedstrijd'!D456</f>
        <v>122.19999999999999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60">
        <f>'Punten per wedstrijd'!D823</f>
        <v>0</v>
      </c>
      <c r="E584" s="332" t="s">
        <v>926</v>
      </c>
      <c r="F584" s="63" t="s">
        <v>3389</v>
      </c>
      <c r="G584" s="63"/>
      <c r="H584" s="460">
        <f>'Punten per wedstrijd'!D164</f>
        <v>1994.3000000000029</v>
      </c>
      <c r="I584" s="332" t="s">
        <v>926</v>
      </c>
      <c r="J584" s="278" t="s">
        <v>2028</v>
      </c>
      <c r="K584" s="63"/>
      <c r="L584" s="460">
        <f>'Punten per wedstrijd'!D334</f>
        <v>394.39999999999975</v>
      </c>
      <c r="M584" s="332" t="s">
        <v>926</v>
      </c>
      <c r="N584" s="278" t="s">
        <v>2006</v>
      </c>
      <c r="O584" s="63"/>
      <c r="P584" s="460">
        <f>'Punten per wedstrijd'!D606</f>
        <v>84.499999999999346</v>
      </c>
      <c r="Q584" s="332" t="s">
        <v>926</v>
      </c>
      <c r="R584" s="278" t="s">
        <v>37</v>
      </c>
      <c r="S584" s="332"/>
      <c r="T584" s="460">
        <f>'Punten per wedstrijd'!D718</f>
        <v>0</v>
      </c>
      <c r="U584" s="332" t="s">
        <v>926</v>
      </c>
      <c r="V584" s="63" t="s">
        <v>763</v>
      </c>
      <c r="W584" s="63"/>
      <c r="X584" s="460">
        <f>'Punten per wedstrijd'!D61</f>
        <v>2110.4000000000028</v>
      </c>
      <c r="Y584" s="332" t="s">
        <v>926</v>
      </c>
      <c r="Z584" s="278" t="s">
        <v>2054</v>
      </c>
      <c r="AA584" s="63"/>
      <c r="AB584" s="460">
        <f>'Punten per wedstrijd'!D286</f>
        <v>282.2000000000001</v>
      </c>
      <c r="AC584" s="332" t="s">
        <v>926</v>
      </c>
      <c r="AD584" s="63" t="s">
        <v>3403</v>
      </c>
      <c r="AE584" s="63"/>
      <c r="AF584" s="460">
        <f>'Punten per wedstrijd'!D515</f>
        <v>119.2999999999999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60">
        <f>'Punten per wedstrijd'!D824</f>
        <v>0</v>
      </c>
      <c r="E585" s="332" t="s">
        <v>927</v>
      </c>
      <c r="F585" s="278" t="s">
        <v>2054</v>
      </c>
      <c r="G585" s="63"/>
      <c r="H585" s="460">
        <f>'Punten per wedstrijd'!D182</f>
        <v>1984.0999999999976</v>
      </c>
      <c r="I585" s="332" t="s">
        <v>927</v>
      </c>
      <c r="J585" s="63" t="s">
        <v>3377</v>
      </c>
      <c r="K585" s="63"/>
      <c r="L585" s="460">
        <f>'Punten per wedstrijd'!D340</f>
        <v>389.04999999999995</v>
      </c>
      <c r="M585" s="332" t="s">
        <v>927</v>
      </c>
      <c r="N585" s="278" t="s">
        <v>2029</v>
      </c>
      <c r="O585" s="63"/>
      <c r="P585" s="460">
        <f>'Punten per wedstrijd'!D549</f>
        <v>83.399999999999594</v>
      </c>
      <c r="Q585" s="332" t="s">
        <v>927</v>
      </c>
      <c r="R585" s="28" t="s">
        <v>143</v>
      </c>
      <c r="S585" s="332"/>
      <c r="T585" s="460">
        <f>'Punten per wedstrijd'!D719</f>
        <v>0</v>
      </c>
      <c r="U585" s="332" t="s">
        <v>927</v>
      </c>
      <c r="V585" s="278" t="s">
        <v>2014</v>
      </c>
      <c r="W585" s="63"/>
      <c r="X585" s="460">
        <f>'Punten per wedstrijd'!D6</f>
        <v>2099.5</v>
      </c>
      <c r="Y585" s="332" t="s">
        <v>927</v>
      </c>
      <c r="Z585" s="63" t="s">
        <v>3379</v>
      </c>
      <c r="AA585" s="63"/>
      <c r="AB585" s="460">
        <f>'Punten per wedstrijd'!D231</f>
        <v>267.40000000000003</v>
      </c>
      <c r="AC585" s="332" t="s">
        <v>927</v>
      </c>
      <c r="AD585" s="278" t="s">
        <v>27</v>
      </c>
      <c r="AE585" s="63"/>
      <c r="AF585" s="460">
        <f>'Punten per wedstrijd'!D484</f>
        <v>116.70000000000002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2034</v>
      </c>
      <c r="C586" s="63"/>
      <c r="D586" s="460">
        <f>'Punten per wedstrijd'!D825</f>
        <v>0</v>
      </c>
      <c r="E586" s="332" t="s">
        <v>928</v>
      </c>
      <c r="F586" s="63" t="s">
        <v>3391</v>
      </c>
      <c r="G586" s="63"/>
      <c r="H586" s="460">
        <f>'Punten per wedstrijd'!D194</f>
        <v>1959.2</v>
      </c>
      <c r="I586" s="332" t="s">
        <v>928</v>
      </c>
      <c r="J586" s="278" t="s">
        <v>2014</v>
      </c>
      <c r="K586" s="63"/>
      <c r="L586" s="460">
        <f>'Punten per wedstrijd'!D318</f>
        <v>382.69999999999993</v>
      </c>
      <c r="M586" s="332" t="s">
        <v>928</v>
      </c>
      <c r="N586" s="63" t="s">
        <v>3389</v>
      </c>
      <c r="O586" s="63"/>
      <c r="P586" s="460">
        <f>'Punten per wedstrijd'!D580</f>
        <v>82.799999999999898</v>
      </c>
      <c r="Q586" s="332" t="s">
        <v>928</v>
      </c>
      <c r="R586" s="219" t="s">
        <v>1662</v>
      </c>
      <c r="S586" s="332"/>
      <c r="T586" s="460">
        <f>'Punten per wedstrijd'!D720</f>
        <v>0</v>
      </c>
      <c r="U586" s="332" t="s">
        <v>928</v>
      </c>
      <c r="V586" s="278" t="s">
        <v>2057</v>
      </c>
      <c r="W586" s="63"/>
      <c r="X586" s="460">
        <f>'Punten per wedstrijd'!D17</f>
        <v>2016.9999999999984</v>
      </c>
      <c r="Y586" s="332" t="s">
        <v>928</v>
      </c>
      <c r="Z586" s="63" t="s">
        <v>728</v>
      </c>
      <c r="AA586" s="63"/>
      <c r="AB586" s="460">
        <f>'Punten per wedstrijd'!D239</f>
        <v>259.89999999999998</v>
      </c>
      <c r="AC586" s="332" t="s">
        <v>928</v>
      </c>
      <c r="AD586" s="63" t="s">
        <v>3376</v>
      </c>
      <c r="AE586" s="63"/>
      <c r="AF586" s="460">
        <f>'Punten per wedstrijd'!D436</f>
        <v>113.79999999999995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60">
        <f>'Punten per wedstrijd'!D826</f>
        <v>0</v>
      </c>
      <c r="E587" s="332" t="s">
        <v>929</v>
      </c>
      <c r="F587" s="63" t="s">
        <v>755</v>
      </c>
      <c r="G587" s="63"/>
      <c r="H587" s="460">
        <f>'Punten per wedstrijd'!D195</f>
        <v>1905.3999999999996</v>
      </c>
      <c r="I587" s="332" t="s">
        <v>929</v>
      </c>
      <c r="J587" s="63" t="s">
        <v>3381</v>
      </c>
      <c r="K587" s="63"/>
      <c r="L587" s="460">
        <f>'Punten per wedstrijd'!D355</f>
        <v>378.30000000000064</v>
      </c>
      <c r="M587" s="332" t="s">
        <v>929</v>
      </c>
      <c r="N587" s="219" t="s">
        <v>1652</v>
      </c>
      <c r="O587" s="63"/>
      <c r="P587" s="460">
        <f>'Punten per wedstrijd'!D529</f>
        <v>80.399999999998954</v>
      </c>
      <c r="Q587" s="332" t="s">
        <v>929</v>
      </c>
      <c r="R587" s="278" t="s">
        <v>2034</v>
      </c>
      <c r="S587" s="332"/>
      <c r="T587" s="460">
        <f>'Punten per wedstrijd'!D721</f>
        <v>0</v>
      </c>
      <c r="U587" s="332" t="s">
        <v>929</v>
      </c>
      <c r="V587" s="63" t="s">
        <v>779</v>
      </c>
      <c r="W587" s="63"/>
      <c r="X587" s="460">
        <f>'Punten per wedstrijd'!D77</f>
        <v>1987.0000000000005</v>
      </c>
      <c r="Y587" s="332" t="s">
        <v>929</v>
      </c>
      <c r="Z587" s="278" t="s">
        <v>23</v>
      </c>
      <c r="AA587" s="63"/>
      <c r="AB587" s="460">
        <f>'Punten per wedstrijd'!D270</f>
        <v>259.3</v>
      </c>
      <c r="AC587" s="332" t="s">
        <v>929</v>
      </c>
      <c r="AD587" s="63" t="s">
        <v>3389</v>
      </c>
      <c r="AE587" s="63"/>
      <c r="AF587" s="460">
        <f>'Punten per wedstrijd'!D476</f>
        <v>109.59999999999997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3403</v>
      </c>
      <c r="C588" s="63"/>
      <c r="D588" s="460">
        <f>'Punten per wedstrijd'!D827</f>
        <v>0</v>
      </c>
      <c r="E588" s="332" t="s">
        <v>930</v>
      </c>
      <c r="F588" s="278" t="s">
        <v>2007</v>
      </c>
      <c r="G588" s="63"/>
      <c r="H588" s="460">
        <f>'Punten per wedstrijd'!D112</f>
        <v>1858.2999999999988</v>
      </c>
      <c r="I588" s="332" t="s">
        <v>930</v>
      </c>
      <c r="J588" s="219" t="s">
        <v>1652</v>
      </c>
      <c r="K588" s="63"/>
      <c r="L588" s="460">
        <f>'Punten per wedstrijd'!D321</f>
        <v>363.69999999999959</v>
      </c>
      <c r="M588" s="332" t="s">
        <v>930</v>
      </c>
      <c r="N588" s="63" t="s">
        <v>3405</v>
      </c>
      <c r="O588" s="63"/>
      <c r="P588" s="460">
        <f>'Punten per wedstrijd'!D596</f>
        <v>71.499999999999773</v>
      </c>
      <c r="Q588" s="332" t="s">
        <v>930</v>
      </c>
      <c r="R588" s="63" t="s">
        <v>180</v>
      </c>
      <c r="S588" s="332"/>
      <c r="T588" s="460">
        <f>'Punten per wedstrijd'!D722</f>
        <v>0</v>
      </c>
      <c r="U588" s="332" t="s">
        <v>930</v>
      </c>
      <c r="V588" s="278" t="s">
        <v>2007</v>
      </c>
      <c r="W588" s="63"/>
      <c r="X588" s="460">
        <f>'Punten per wedstrijd'!D8</f>
        <v>1983.9999999999986</v>
      </c>
      <c r="Y588" s="332" t="s">
        <v>930</v>
      </c>
      <c r="Z588" s="63" t="s">
        <v>3403</v>
      </c>
      <c r="AA588" s="63"/>
      <c r="AB588" s="460">
        <f>'Punten per wedstrijd'!D307</f>
        <v>256.79999999999978</v>
      </c>
      <c r="AC588" s="332" t="s">
        <v>930</v>
      </c>
      <c r="AD588" s="63" t="s">
        <v>748</v>
      </c>
      <c r="AE588" s="63"/>
      <c r="AF588" s="460">
        <f>'Punten per wedstrijd'!D496</f>
        <v>106.29999999999997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60">
        <f>'Punten per wedstrijd'!D828</f>
        <v>0</v>
      </c>
      <c r="E589" s="332" t="s">
        <v>931</v>
      </c>
      <c r="F589" s="63" t="s">
        <v>788</v>
      </c>
      <c r="G589" s="63"/>
      <c r="H589" s="460">
        <f>'Punten per wedstrijd'!D122</f>
        <v>1843.9999999999982</v>
      </c>
      <c r="I589" s="332" t="s">
        <v>931</v>
      </c>
      <c r="J589" s="63" t="s">
        <v>796</v>
      </c>
      <c r="K589" s="63"/>
      <c r="L589" s="460">
        <f>'Punten per wedstrijd'!D362</f>
        <v>342.70000000000005</v>
      </c>
      <c r="M589" s="332" t="s">
        <v>931</v>
      </c>
      <c r="N589" s="63" t="s">
        <v>3406</v>
      </c>
      <c r="O589" s="63"/>
      <c r="P589" s="460">
        <f>'Punten per wedstrijd'!D564</f>
        <v>71.499999999999318</v>
      </c>
      <c r="Q589" s="332" t="s">
        <v>931</v>
      </c>
      <c r="R589" s="219" t="s">
        <v>1659</v>
      </c>
      <c r="S589" s="332"/>
      <c r="T589" s="460">
        <f>'Punten per wedstrijd'!D724</f>
        <v>0</v>
      </c>
      <c r="U589" s="332" t="s">
        <v>931</v>
      </c>
      <c r="V589" s="63" t="s">
        <v>764</v>
      </c>
      <c r="W589" s="63"/>
      <c r="X589" s="460">
        <f>'Punten per wedstrijd'!D72</f>
        <v>1978.8999999999987</v>
      </c>
      <c r="Y589" s="332" t="s">
        <v>931</v>
      </c>
      <c r="Z589" s="278" t="s">
        <v>3373</v>
      </c>
      <c r="AA589" s="63"/>
      <c r="AB589" s="460">
        <f>'Punten per wedstrijd'!D261</f>
        <v>249.99999999999989</v>
      </c>
      <c r="AC589" s="332" t="s">
        <v>931</v>
      </c>
      <c r="AD589" s="278" t="s">
        <v>1</v>
      </c>
      <c r="AE589" s="63"/>
      <c r="AF589" s="460">
        <f>'Punten per wedstrijd'!D428</f>
        <v>103.39999999999962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60">
        <f>'Punten per wedstrijd'!D829</f>
        <v>0</v>
      </c>
      <c r="E590" s="332" t="s">
        <v>932</v>
      </c>
      <c r="F590" s="63" t="s">
        <v>3384</v>
      </c>
      <c r="G590" s="63"/>
      <c r="H590" s="460">
        <f>'Punten per wedstrijd'!D149</f>
        <v>1833.2000000000032</v>
      </c>
      <c r="I590" s="332" t="s">
        <v>932</v>
      </c>
      <c r="J590" s="63" t="s">
        <v>3403</v>
      </c>
      <c r="K590" s="63"/>
      <c r="L590" s="460">
        <f>'Punten per wedstrijd'!D411</f>
        <v>333.89999999999969</v>
      </c>
      <c r="M590" s="332" t="s">
        <v>932</v>
      </c>
      <c r="N590" s="278" t="s">
        <v>3374</v>
      </c>
      <c r="O590" s="63"/>
      <c r="P590" s="460">
        <f>'Punten per wedstrijd'!D623</f>
        <v>68.100000000000136</v>
      </c>
      <c r="Q590" s="332" t="s">
        <v>932</v>
      </c>
      <c r="R590" s="63" t="s">
        <v>155</v>
      </c>
      <c r="S590" s="332"/>
      <c r="T590" s="460">
        <f>'Punten per wedstrijd'!D725</f>
        <v>0</v>
      </c>
      <c r="U590" s="332" t="s">
        <v>932</v>
      </c>
      <c r="V590" s="63" t="s">
        <v>141</v>
      </c>
      <c r="W590" s="63"/>
      <c r="X590" s="460">
        <f>'Punten per wedstrijd'!D52</f>
        <v>1959.0999999999981</v>
      </c>
      <c r="Y590" s="332" t="s">
        <v>932</v>
      </c>
      <c r="Z590" s="278" t="s">
        <v>2029</v>
      </c>
      <c r="AA590" s="63"/>
      <c r="AB590" s="460">
        <f>'Punten per wedstrijd'!D237</f>
        <v>247.4</v>
      </c>
      <c r="AC590" s="332" t="s">
        <v>932</v>
      </c>
      <c r="AD590" s="63" t="s">
        <v>3393</v>
      </c>
      <c r="AE590" s="63"/>
      <c r="AF590" s="460">
        <f>'Punten per wedstrijd'!D440</f>
        <v>102.09999999999937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60">
        <f>'Punten per wedstrijd'!D830</f>
        <v>0</v>
      </c>
      <c r="E591" s="332" t="s">
        <v>933</v>
      </c>
      <c r="F591" s="278" t="s">
        <v>1</v>
      </c>
      <c r="G591" s="63"/>
      <c r="H591" s="460">
        <f>'Punten per wedstrijd'!D116</f>
        <v>1815.1999999999994</v>
      </c>
      <c r="I591" s="332" t="s">
        <v>933</v>
      </c>
      <c r="J591" s="63" t="s">
        <v>788</v>
      </c>
      <c r="K591" s="63"/>
      <c r="L591" s="460">
        <f>'Punten per wedstrijd'!D330</f>
        <v>310.10000000000002</v>
      </c>
      <c r="M591" s="332" t="s">
        <v>933</v>
      </c>
      <c r="N591" s="63" t="s">
        <v>3376</v>
      </c>
      <c r="O591" s="63"/>
      <c r="P591" s="460">
        <f>'Punten per wedstrijd'!D540</f>
        <v>49.89999999999975</v>
      </c>
      <c r="Q591" s="332" t="s">
        <v>933</v>
      </c>
      <c r="R591" s="63" t="s">
        <v>753</v>
      </c>
      <c r="S591" s="332"/>
      <c r="T591" s="460">
        <f>'Punten per wedstrijd'!D726</f>
        <v>0</v>
      </c>
      <c r="U591" s="332" t="s">
        <v>933</v>
      </c>
      <c r="V591" s="278" t="s">
        <v>2056</v>
      </c>
      <c r="W591" s="63"/>
      <c r="X591" s="460">
        <f>'Punten per wedstrijd'!D81</f>
        <v>1884.2000000000025</v>
      </c>
      <c r="Y591" s="332" t="s">
        <v>933</v>
      </c>
      <c r="Z591" s="63" t="s">
        <v>9</v>
      </c>
      <c r="AA591" s="63"/>
      <c r="AB591" s="460">
        <f>'Punten per wedstrijd'!D233</f>
        <v>241.29999999999959</v>
      </c>
      <c r="AC591" s="332" t="s">
        <v>933</v>
      </c>
      <c r="AD591" s="63" t="s">
        <v>3405</v>
      </c>
      <c r="AE591" s="63"/>
      <c r="AF591" s="460">
        <f>'Punten per wedstrijd'!D492</f>
        <v>100.2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3374</v>
      </c>
      <c r="C592" s="63"/>
      <c r="D592" s="460">
        <f>'Punten per wedstrijd'!D831</f>
        <v>0</v>
      </c>
      <c r="E592" s="332" t="s">
        <v>934</v>
      </c>
      <c r="F592" s="278" t="s">
        <v>2056</v>
      </c>
      <c r="G592" s="63"/>
      <c r="H592" s="460">
        <f>'Punten per wedstrijd'!D185</f>
        <v>1765.0000000000009</v>
      </c>
      <c r="I592" s="332" t="s">
        <v>934</v>
      </c>
      <c r="J592" s="63" t="s">
        <v>3382</v>
      </c>
      <c r="K592" s="63"/>
      <c r="L592" s="460">
        <f>'Punten per wedstrijd'!D371</f>
        <v>269.50000000000045</v>
      </c>
      <c r="M592" s="332" t="s">
        <v>934</v>
      </c>
      <c r="N592" s="278" t="s">
        <v>2056</v>
      </c>
      <c r="O592" s="63"/>
      <c r="P592" s="460">
        <f>'Punten per wedstrijd'!D601</f>
        <v>44.999999999999829</v>
      </c>
      <c r="Q592" s="332" t="s">
        <v>934</v>
      </c>
      <c r="R592" s="278" t="s">
        <v>3374</v>
      </c>
      <c r="S592" s="332"/>
      <c r="T592" s="460">
        <f>'Punten per wedstrijd'!D727</f>
        <v>0</v>
      </c>
      <c r="U592" s="332" t="s">
        <v>934</v>
      </c>
      <c r="V592" s="278" t="s">
        <v>2011</v>
      </c>
      <c r="W592" s="63"/>
      <c r="X592" s="460">
        <f>'Punten per wedstrijd'!D39</f>
        <v>1444.5000000000007</v>
      </c>
      <c r="Y592" s="332" t="s">
        <v>934</v>
      </c>
      <c r="Z592" s="278" t="s">
        <v>2034</v>
      </c>
      <c r="AA592" s="63"/>
      <c r="AB592" s="460">
        <f>'Punten per wedstrijd'!D305</f>
        <v>225.1</v>
      </c>
      <c r="AC592" s="332" t="s">
        <v>934</v>
      </c>
      <c r="AD592" s="278" t="s">
        <v>13</v>
      </c>
      <c r="AE592" s="63"/>
      <c r="AF592" s="460">
        <f>'Punten per wedstrijd'!D451</f>
        <v>99.499999999999901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2012</v>
      </c>
      <c r="C593" s="63"/>
      <c r="D593" s="460">
        <f>'Punten per wedstrijd'!D832</f>
        <v>0</v>
      </c>
      <c r="E593" s="332" t="s">
        <v>935</v>
      </c>
      <c r="F593" s="278" t="s">
        <v>3374</v>
      </c>
      <c r="G593" s="63"/>
      <c r="H593" s="460">
        <f>'Punten per wedstrijd'!D207</f>
        <v>1467.5499999999986</v>
      </c>
      <c r="I593" s="332" t="s">
        <v>935</v>
      </c>
      <c r="J593" s="63" t="s">
        <v>3391</v>
      </c>
      <c r="K593" s="63"/>
      <c r="L593" s="460">
        <f>'Punten per wedstrijd'!D402</f>
        <v>232.49999999999991</v>
      </c>
      <c r="M593" s="332" t="s">
        <v>935</v>
      </c>
      <c r="N593" s="63" t="s">
        <v>3385</v>
      </c>
      <c r="O593" s="63"/>
      <c r="P593" s="460">
        <f>'Punten per wedstrijd'!D603</f>
        <v>34.199999999999818</v>
      </c>
      <c r="Q593" s="332" t="s">
        <v>935</v>
      </c>
      <c r="R593" s="278" t="s">
        <v>2012</v>
      </c>
      <c r="S593" s="332"/>
      <c r="T593" s="460">
        <f>'Punten per wedstrijd'!D728</f>
        <v>0</v>
      </c>
      <c r="U593" s="332" t="s">
        <v>935</v>
      </c>
      <c r="V593" s="63" t="s">
        <v>788</v>
      </c>
      <c r="W593" s="63"/>
      <c r="X593" s="460">
        <f>'Punten per wedstrijd'!D18</f>
        <v>1152.6999999999987</v>
      </c>
      <c r="Y593" s="332" t="s">
        <v>935</v>
      </c>
      <c r="Z593" s="219" t="s">
        <v>1644</v>
      </c>
      <c r="AA593" s="63"/>
      <c r="AB593" s="460">
        <f>'Punten per wedstrijd'!D265</f>
        <v>200.9</v>
      </c>
      <c r="AC593" s="332" t="s">
        <v>935</v>
      </c>
      <c r="AD593" s="278" t="s">
        <v>2034</v>
      </c>
      <c r="AE593" s="63"/>
      <c r="AF593" s="460">
        <f>'Punten per wedstrijd'!D513</f>
        <v>95.200000000000117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1990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2050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1990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2009</v>
      </c>
      <c r="SB596" s="51" t="s">
        <v>2009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2017</v>
      </c>
      <c r="UM596" s="51" t="s">
        <v>3322</v>
      </c>
      <c r="UV596" s="51" t="s">
        <v>743</v>
      </c>
      <c r="VE596" s="283" t="s">
        <v>2016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2037</v>
      </c>
      <c r="XP596" s="51" t="s">
        <v>2038</v>
      </c>
      <c r="XY596" s="51" t="s">
        <v>2043</v>
      </c>
      <c r="YH596" s="51" t="s">
        <v>791</v>
      </c>
      <c r="YQ596" s="51" t="s">
        <v>2046</v>
      </c>
      <c r="YZ596" s="51" t="s">
        <v>742</v>
      </c>
      <c r="ZI596" s="51" t="s">
        <v>2050</v>
      </c>
      <c r="ZR596" s="51" t="s">
        <v>2040</v>
      </c>
      <c r="AAA596" s="51" t="s">
        <v>2052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3435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2037</v>
      </c>
      <c r="AHZ596" s="51" t="s">
        <v>2037</v>
      </c>
      <c r="AII596" s="51" t="s">
        <v>3412</v>
      </c>
      <c r="AIR596" s="51" t="s">
        <v>3414</v>
      </c>
      <c r="AJA596" s="51" t="s">
        <v>742</v>
      </c>
      <c r="AJJ596" s="51" t="s">
        <v>3417</v>
      </c>
      <c r="AJS596" s="51" t="s">
        <v>3419</v>
      </c>
      <c r="AKB596" s="51" t="s">
        <v>768</v>
      </c>
      <c r="AKK596" s="51" t="s">
        <v>3421</v>
      </c>
      <c r="AKT596" s="51" t="s">
        <v>3423</v>
      </c>
      <c r="ALC596" s="51" t="s">
        <v>3322</v>
      </c>
      <c r="ALL596" s="51" t="s">
        <v>3423</v>
      </c>
      <c r="ALU596" s="51" t="s">
        <v>3427</v>
      </c>
      <c r="AMD596" s="51" t="s">
        <v>3447</v>
      </c>
      <c r="AMM596" s="51" t="s">
        <v>3430</v>
      </c>
      <c r="AMV596" s="51" t="s">
        <v>3433</v>
      </c>
      <c r="ANE596" s="51" t="s">
        <v>2043</v>
      </c>
      <c r="ANN596" s="51" t="s">
        <v>3435</v>
      </c>
      <c r="ANW596" s="51" t="s">
        <v>740</v>
      </c>
      <c r="AOF596" s="51" t="s">
        <v>3438</v>
      </c>
      <c r="AOO596" s="51" t="s">
        <v>3440</v>
      </c>
      <c r="AOX596" s="51" t="s">
        <v>2050</v>
      </c>
      <c r="APG596" s="51" t="s">
        <v>740</v>
      </c>
      <c r="APP596" s="51" t="s">
        <v>777</v>
      </c>
      <c r="APY596" s="51" t="s">
        <v>3445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2012</v>
      </c>
      <c r="SA597" s="42"/>
      <c r="SB597" s="10" t="s">
        <v>1547</v>
      </c>
      <c r="SC597" s="201" t="s">
        <v>2010</v>
      </c>
      <c r="SJ597" s="42"/>
      <c r="SK597" s="10" t="s">
        <v>1548</v>
      </c>
      <c r="SL597" s="201" t="s">
        <v>2022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2006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2013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2014</v>
      </c>
      <c r="VD597" s="42"/>
      <c r="VE597" s="10" t="s">
        <v>1626</v>
      </c>
      <c r="VF597" s="201" t="s">
        <v>2015</v>
      </c>
      <c r="VM597" s="42"/>
      <c r="VN597" s="10" t="s">
        <v>1627</v>
      </c>
      <c r="VO597" s="201" t="s">
        <v>2011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2007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2161</v>
      </c>
      <c r="XO597" s="42"/>
      <c r="XP597" s="10" t="s">
        <v>1633</v>
      </c>
      <c r="XQ597" s="201" t="s">
        <v>4520</v>
      </c>
      <c r="XX597" s="42"/>
      <c r="XY597" s="10" t="s">
        <v>1634</v>
      </c>
      <c r="XZ597" s="201" t="s">
        <v>2027</v>
      </c>
      <c r="YG597" s="42"/>
      <c r="YH597" s="10" t="s">
        <v>1635</v>
      </c>
      <c r="YI597" s="201" t="s">
        <v>2033</v>
      </c>
      <c r="YP597" s="42"/>
      <c r="YQ597" s="10" t="s">
        <v>1636</v>
      </c>
      <c r="YR597" s="201" t="s">
        <v>2032</v>
      </c>
      <c r="YY597" s="42"/>
      <c r="YZ597" s="10" t="s">
        <v>1637</v>
      </c>
      <c r="ZA597" s="201" t="s">
        <v>2031</v>
      </c>
      <c r="ZH597" s="42"/>
      <c r="ZI597" s="10" t="s">
        <v>1638</v>
      </c>
      <c r="ZJ597" s="201" t="s">
        <v>2029</v>
      </c>
      <c r="ZQ597" s="42"/>
      <c r="ZR597" s="10" t="s">
        <v>1639</v>
      </c>
      <c r="ZS597" s="201" t="s">
        <v>2034</v>
      </c>
      <c r="ZZ597" s="42"/>
      <c r="AAA597" s="10" t="s">
        <v>1991</v>
      </c>
      <c r="AAB597" s="201" t="s">
        <v>2054</v>
      </c>
      <c r="AAI597" s="42"/>
      <c r="AAJ597" s="10" t="s">
        <v>1992</v>
      </c>
      <c r="AAK597" s="201" t="s">
        <v>2028</v>
      </c>
      <c r="AAR597" s="42"/>
      <c r="AAS597" s="10" t="s">
        <v>1993</v>
      </c>
      <c r="AAT597" s="201" t="s">
        <v>2057</v>
      </c>
      <c r="ABA597" s="42"/>
      <c r="ABB597" s="10" t="s">
        <v>1994</v>
      </c>
      <c r="ABC597" s="201" t="s">
        <v>2008</v>
      </c>
      <c r="ABJ597" s="42"/>
      <c r="ABK597" s="10" t="s">
        <v>1995</v>
      </c>
      <c r="ABL597" s="201" t="s">
        <v>2056</v>
      </c>
      <c r="ABT597" s="10" t="s">
        <v>1996</v>
      </c>
      <c r="ABU597" s="201" t="s">
        <v>2030</v>
      </c>
      <c r="ACB597" s="42"/>
      <c r="ACC597" s="10" t="s">
        <v>1997</v>
      </c>
      <c r="ACD597" s="201" t="s">
        <v>29</v>
      </c>
      <c r="ACK597" s="42"/>
      <c r="ACL597" s="10" t="s">
        <v>1998</v>
      </c>
      <c r="ACM597" s="201" t="s">
        <v>744</v>
      </c>
      <c r="ACT597" s="42"/>
      <c r="ACU597" s="10" t="s">
        <v>1999</v>
      </c>
      <c r="ACV597" s="201" t="s">
        <v>158</v>
      </c>
      <c r="ADC597" s="42"/>
      <c r="ADD597" s="10" t="s">
        <v>2036</v>
      </c>
      <c r="ADE597" s="201" t="s">
        <v>769</v>
      </c>
      <c r="ADL597" s="42"/>
      <c r="ADM597" s="10" t="s">
        <v>2039</v>
      </c>
      <c r="ADN597" s="201" t="s">
        <v>35</v>
      </c>
      <c r="ADU597" s="42"/>
      <c r="ADV597" s="10" t="s">
        <v>2041</v>
      </c>
      <c r="ADW597" s="201" t="s">
        <v>4</v>
      </c>
      <c r="AED597" s="42"/>
      <c r="AEE597" s="10" t="s">
        <v>2042</v>
      </c>
      <c r="AEF597" s="201" t="s">
        <v>1641</v>
      </c>
      <c r="AEM597" s="42"/>
      <c r="AEN597" s="10" t="s">
        <v>2044</v>
      </c>
      <c r="AEO597" s="201" t="s">
        <v>1658</v>
      </c>
      <c r="AEV597" s="42"/>
      <c r="AEW597" s="10" t="s">
        <v>2045</v>
      </c>
      <c r="AEX597" s="201" t="s">
        <v>1651</v>
      </c>
      <c r="AFE597" s="42"/>
      <c r="AFF597" s="10" t="s">
        <v>2047</v>
      </c>
      <c r="AFG597" s="201" t="s">
        <v>1650</v>
      </c>
      <c r="AFN597" s="42"/>
      <c r="AFO597" s="10" t="s">
        <v>2048</v>
      </c>
      <c r="AFP597" s="201" t="s">
        <v>1676</v>
      </c>
      <c r="AFW597" s="42"/>
      <c r="AFX597" s="10" t="s">
        <v>2049</v>
      </c>
      <c r="AFY597" s="201" t="s">
        <v>1648</v>
      </c>
      <c r="AGF597" s="42"/>
      <c r="AGG597" s="10" t="s">
        <v>2051</v>
      </c>
      <c r="AGH597" s="201" t="s">
        <v>774</v>
      </c>
      <c r="AGO597" s="42"/>
      <c r="AGP597" s="10" t="s">
        <v>2053</v>
      </c>
      <c r="AGQ597" s="201" t="s">
        <v>784</v>
      </c>
      <c r="AGY597" s="10" t="s">
        <v>2055</v>
      </c>
      <c r="AGZ597" s="201" t="s">
        <v>3373</v>
      </c>
      <c r="AHG597" s="42"/>
      <c r="AHH597" s="10" t="s">
        <v>3408</v>
      </c>
      <c r="AHI597" s="201" t="s">
        <v>3374</v>
      </c>
      <c r="AHP597" s="42"/>
      <c r="AHQ597" s="10" t="s">
        <v>3409</v>
      </c>
      <c r="AHR597" s="201" t="s">
        <v>3375</v>
      </c>
      <c r="AHY597" s="42"/>
      <c r="AHZ597" s="10" t="s">
        <v>3410</v>
      </c>
      <c r="AIA597" s="201" t="s">
        <v>3376</v>
      </c>
      <c r="AIH597" s="42"/>
      <c r="AII597" s="10" t="s">
        <v>3411</v>
      </c>
      <c r="AIJ597" s="201" t="s">
        <v>3377</v>
      </c>
      <c r="AIQ597" s="42"/>
      <c r="AIR597" s="10" t="s">
        <v>3413</v>
      </c>
      <c r="AIS597" s="201" t="s">
        <v>3378</v>
      </c>
      <c r="AIZ597" s="42"/>
      <c r="AJA597" s="10" t="s">
        <v>3415</v>
      </c>
      <c r="AJB597" s="201" t="s">
        <v>3379</v>
      </c>
      <c r="AJI597" s="42"/>
      <c r="AJJ597" s="10" t="s">
        <v>3416</v>
      </c>
      <c r="AJK597" s="201" t="s">
        <v>3380</v>
      </c>
      <c r="AJR597" s="42"/>
      <c r="AJS597" s="10" t="s">
        <v>3418</v>
      </c>
      <c r="AJT597" s="201" t="s">
        <v>3381</v>
      </c>
      <c r="AKA597" s="42"/>
      <c r="AKB597" s="10" t="s">
        <v>3420</v>
      </c>
      <c r="AKC597" s="201" t="s">
        <v>3382</v>
      </c>
      <c r="AKJ597" s="42"/>
      <c r="AKK597" s="10" t="s">
        <v>3422</v>
      </c>
      <c r="AKL597" s="201" t="s">
        <v>3383</v>
      </c>
      <c r="AKS597" s="42"/>
      <c r="AKT597" s="10" t="s">
        <v>3424</v>
      </c>
      <c r="AKU597" s="201" t="s">
        <v>3384</v>
      </c>
      <c r="ALB597" s="42"/>
      <c r="ALC597" s="10" t="s">
        <v>3425</v>
      </c>
      <c r="ALD597" s="201" t="s">
        <v>3385</v>
      </c>
      <c r="ALK597" s="42"/>
      <c r="ALL597" s="10" t="s">
        <v>3426</v>
      </c>
      <c r="ALM597" s="201" t="s">
        <v>3386</v>
      </c>
      <c r="ALT597" s="42"/>
      <c r="ALU597" s="10" t="s">
        <v>3428</v>
      </c>
      <c r="ALV597" s="201" t="s">
        <v>3387</v>
      </c>
      <c r="AMC597" s="42"/>
      <c r="AMD597" s="10" t="s">
        <v>3429</v>
      </c>
      <c r="AME597" s="201" t="s">
        <v>3388</v>
      </c>
      <c r="AML597" s="42"/>
      <c r="AMM597" s="10" t="s">
        <v>3431</v>
      </c>
      <c r="AMN597" s="201" t="s">
        <v>3389</v>
      </c>
      <c r="AMU597" s="42"/>
      <c r="AMV597" s="10" t="s">
        <v>3432</v>
      </c>
      <c r="AMW597" s="201" t="s">
        <v>3390</v>
      </c>
      <c r="AND597" s="42"/>
      <c r="ANE597" s="10" t="s">
        <v>3434</v>
      </c>
      <c r="ANF597" s="201" t="s">
        <v>3407</v>
      </c>
      <c r="ANM597" s="42"/>
      <c r="ANN597" s="10" t="s">
        <v>3436</v>
      </c>
      <c r="ANO597" s="201" t="s">
        <v>3391</v>
      </c>
      <c r="ANV597" s="42"/>
      <c r="ANW597" s="10" t="s">
        <v>3437</v>
      </c>
      <c r="ANX597" s="201" t="s">
        <v>180</v>
      </c>
      <c r="AOE597" s="42"/>
      <c r="AOF597" s="10" t="s">
        <v>3439</v>
      </c>
      <c r="AOG597" s="201" t="s">
        <v>3393</v>
      </c>
      <c r="AON597" s="42"/>
      <c r="AOO597" s="10" t="s">
        <v>3441</v>
      </c>
      <c r="AOP597" s="201" t="s">
        <v>3394</v>
      </c>
      <c r="AOW597" s="42"/>
      <c r="AOX597" s="10" t="s">
        <v>3442</v>
      </c>
      <c r="AOY597" s="201" t="s">
        <v>3402</v>
      </c>
      <c r="APF597" s="42"/>
      <c r="APG597" s="10" t="s">
        <v>3443</v>
      </c>
      <c r="APH597" s="201" t="s">
        <v>3403</v>
      </c>
      <c r="APO597" s="42"/>
      <c r="APP597" s="10" t="s">
        <v>3444</v>
      </c>
      <c r="APQ597" s="201" t="s">
        <v>3405</v>
      </c>
      <c r="APX597" s="42"/>
      <c r="APY597" s="10" t="s">
        <v>3446</v>
      </c>
      <c r="APZ597" s="201" t="s">
        <v>3406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VLOOKUP(B599,$A$681:$F$2272,6,FALSE)</f>
        <v>622</v>
      </c>
      <c r="F599" s="203" t="s">
        <v>61</v>
      </c>
      <c r="G599" s="10">
        <f>E599*1.5</f>
        <v>933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VLOOKUP(K599,$A$681:$F$2272,6,FALSE)</f>
        <v>622</v>
      </c>
      <c r="O599" s="203" t="s">
        <v>61</v>
      </c>
      <c r="P599" s="10">
        <f>N599*1.5*M599</f>
        <v>933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VLOOKUP(T599,$A$681:$F$2272,6,FALSE)</f>
        <v>622</v>
      </c>
      <c r="X599" s="203" t="s">
        <v>61</v>
      </c>
      <c r="Y599" s="10">
        <f>W599*1.5*V599</f>
        <v>933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VLOOKUP(AC599,$A$681:$F$2272,6,FALSE)</f>
        <v>461</v>
      </c>
      <c r="AG599" s="203" t="s">
        <v>61</v>
      </c>
      <c r="AH599" s="10">
        <f>AF599*1.5*AE599</f>
        <v>691.5</v>
      </c>
      <c r="AI599" s="10"/>
      <c r="AJ599" s="268"/>
      <c r="AK599" s="203" t="s">
        <v>60</v>
      </c>
      <c r="AL599" s="417" t="s">
        <v>569</v>
      </c>
      <c r="AM599" s="416" t="s">
        <v>2023</v>
      </c>
      <c r="AN599" s="284">
        <f>IF(AM599="Kopman",1.1,1)</f>
        <v>1.1000000000000001</v>
      </c>
      <c r="AO599" s="204">
        <f>VLOOKUP(AL599,$A$681:$F$2272,6,FALSE)</f>
        <v>622</v>
      </c>
      <c r="AP599" s="203" t="s">
        <v>61</v>
      </c>
      <c r="AQ599" s="10">
        <f>AO599*1.5*AN599</f>
        <v>1026.3000000000002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VLOOKUP(AU599,$A$681:$F$2272,6,FALSE)</f>
        <v>622</v>
      </c>
      <c r="AY599" s="203" t="s">
        <v>61</v>
      </c>
      <c r="AZ599" s="10">
        <f>AX599*1.5*AW599</f>
        <v>933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VLOOKUP(BD599,$A$681:$F$2272,6,FALSE)</f>
        <v>383</v>
      </c>
      <c r="BH599" s="203" t="s">
        <v>61</v>
      </c>
      <c r="BI599" s="10">
        <f>BG599*1.5*BF599</f>
        <v>574.5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VLOOKUP(BM599,$A$681:$F$2272,6,FALSE)</f>
        <v>622</v>
      </c>
      <c r="BQ599" s="203" t="s">
        <v>61</v>
      </c>
      <c r="BR599" s="10">
        <f>BP599*1.5*BO599</f>
        <v>933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VLOOKUP(BV599,$A$681:$F$2272,6,FALSE)</f>
        <v>622</v>
      </c>
      <c r="BZ599" s="203" t="s">
        <v>61</v>
      </c>
      <c r="CA599" s="10">
        <f>BY599*1.5*BX599</f>
        <v>933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VLOOKUP(CE599,$A$681:$F$2272,6,FALSE)</f>
        <v>622</v>
      </c>
      <c r="CI599" s="203" t="s">
        <v>61</v>
      </c>
      <c r="CJ599" s="10">
        <f>CH599*1.5*CG599</f>
        <v>933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VLOOKUP(CN599,$A$681:$F$2272,6,FALSE)</f>
        <v>622</v>
      </c>
      <c r="CR599" s="203" t="s">
        <v>61</v>
      </c>
      <c r="CS599" s="10">
        <f>CQ599*1.5*CP599</f>
        <v>933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VLOOKUP(CW599,$A$681:$F$2272,6,FALSE)</f>
        <v>383</v>
      </c>
      <c r="DA599" s="203" t="s">
        <v>61</v>
      </c>
      <c r="DB599" s="10">
        <f>CZ599*1.5*CY599</f>
        <v>574.5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VLOOKUP(DF599,$A$681:$F$2272,6,FALSE)</f>
        <v>461</v>
      </c>
      <c r="DJ599" s="203" t="s">
        <v>61</v>
      </c>
      <c r="DK599" s="10">
        <f>DI599*1.5*DH599</f>
        <v>691.5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VLOOKUP(DO599,$A$681:$F$2272,6,FALSE)</f>
        <v>622</v>
      </c>
      <c r="DS599" s="203" t="s">
        <v>61</v>
      </c>
      <c r="DT599" s="10">
        <f>DR599*1.5*DQ599</f>
        <v>933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VLOOKUP(DX599,$A$681:$F$2272,6,FALSE)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VLOOKUP(EG599,$A$681:$F$2272,6,FALSE)</f>
        <v>622</v>
      </c>
      <c r="EK599" s="203" t="s">
        <v>61</v>
      </c>
      <c r="EL599" s="10">
        <f>EJ599*1.5*EI599</f>
        <v>933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VLOOKUP(EP599,$A$681:$F$2272,6,FALSE)</f>
        <v>461</v>
      </c>
      <c r="ET599" s="203" t="s">
        <v>61</v>
      </c>
      <c r="EU599" s="10">
        <f>ES599*1.5*ER599</f>
        <v>691.5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VLOOKUP(EY599,$A$681:$F$2272,6,FALSE)</f>
        <v>383</v>
      </c>
      <c r="FC599" s="203" t="s">
        <v>61</v>
      </c>
      <c r="FD599" s="10">
        <f>FB599*1.5*FA599</f>
        <v>574.5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VLOOKUP(FH599,$A$681:$F$2272,6,FALSE)</f>
        <v>622</v>
      </c>
      <c r="FL599" s="203" t="s">
        <v>61</v>
      </c>
      <c r="FM599" s="10">
        <f>FK599*1.5*FJ599</f>
        <v>933</v>
      </c>
      <c r="FN599" s="10"/>
      <c r="FO599" s="268"/>
      <c r="FP599" s="203" t="s">
        <v>60</v>
      </c>
      <c r="FQ599" s="417" t="s">
        <v>569</v>
      </c>
      <c r="FR599" s="416" t="s">
        <v>2023</v>
      </c>
      <c r="FS599" s="284">
        <f>IF(FR599="Kopman",1.1,1)</f>
        <v>1.1000000000000001</v>
      </c>
      <c r="FT599" s="204">
        <f>VLOOKUP(FQ599,$A$681:$F$2272,6,FALSE)</f>
        <v>622</v>
      </c>
      <c r="FU599" s="203" t="s">
        <v>61</v>
      </c>
      <c r="FV599" s="10">
        <f>FT599*1.5*FS599</f>
        <v>1026.3000000000002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VLOOKUP(FZ599,$A$681:$F$2272,6,FALSE)</f>
        <v>622</v>
      </c>
      <c r="GD599" s="203" t="s">
        <v>61</v>
      </c>
      <c r="GE599" s="10">
        <f>GC599*1.5*GB599</f>
        <v>933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VLOOKUP(GI599,$A$681:$F$2272,6,FALSE)</f>
        <v>622</v>
      </c>
      <c r="GM599" s="203" t="s">
        <v>61</v>
      </c>
      <c r="GN599" s="10">
        <f>GL599*1.5*GK599</f>
        <v>933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VLOOKUP(GR599,$A$681:$F$2272,6,FALSE)</f>
        <v>461</v>
      </c>
      <c r="GV599" s="203" t="s">
        <v>61</v>
      </c>
      <c r="GW599" s="10">
        <f>GU599*1.5</f>
        <v>691.5</v>
      </c>
      <c r="GX599" s="10"/>
      <c r="GY599" s="268"/>
      <c r="GZ599" s="203" t="s">
        <v>60</v>
      </c>
      <c r="HA599" s="417" t="s">
        <v>830</v>
      </c>
      <c r="HB599" s="416" t="s">
        <v>2023</v>
      </c>
      <c r="HC599" s="284">
        <f>IF(HB599="Kopman",1.1,1)</f>
        <v>1.1000000000000001</v>
      </c>
      <c r="HD599" s="204">
        <f>VLOOKUP(HA599,$A$681:$F$2272,6,FALSE)</f>
        <v>461</v>
      </c>
      <c r="HE599" s="203" t="s">
        <v>61</v>
      </c>
      <c r="HF599" s="10">
        <f>HD599*1.5*HC599</f>
        <v>760.65000000000009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VLOOKUP(HJ599,$A$681:$F$2272,6,FALSE)</f>
        <v>622</v>
      </c>
      <c r="HN599" s="203" t="s">
        <v>61</v>
      </c>
      <c r="HO599" s="10">
        <f>HM599*1.5</f>
        <v>933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VLOOKUP(HS599,$A$681:$F$2272,6,FALSE)</f>
        <v>622</v>
      </c>
      <c r="HW599" s="203" t="s">
        <v>61</v>
      </c>
      <c r="HX599" s="10">
        <f>HV599*1.5*HU599</f>
        <v>933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VLOOKUP(IB599,$A$681:$F$2272,6,FALSE)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VLOOKUP(IK599,$A$681:$F$2272,6,FALSE)</f>
        <v>383</v>
      </c>
      <c r="IO599" s="203" t="s">
        <v>61</v>
      </c>
      <c r="IP599" s="10">
        <f>IN599*1.5*IM599</f>
        <v>574.5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VLOOKUP(IT599,$A$681:$F$2272,6,FALSE)</f>
        <v>383</v>
      </c>
      <c r="IX599" s="203" t="s">
        <v>61</v>
      </c>
      <c r="IY599" s="10">
        <f>IW599*1.5*IV599</f>
        <v>574.5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VLOOKUP(JC599,$A$681:$F$2272,6,FALSE)</f>
        <v>461</v>
      </c>
      <c r="JG599" s="203" t="s">
        <v>61</v>
      </c>
      <c r="JH599" s="10">
        <f>JF599*1.5*JE599</f>
        <v>691.5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VLOOKUP(JL599,$A$681:$F$2272,6,FALSE)</f>
        <v>622</v>
      </c>
      <c r="JP599" s="203" t="s">
        <v>61</v>
      </c>
      <c r="JQ599" s="10">
        <f>JO599*1.5*JN599</f>
        <v>933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VLOOKUP(JU599,$A$681:$F$2272,6,FALSE)</f>
        <v>383</v>
      </c>
      <c r="JY599" s="203" t="s">
        <v>61</v>
      </c>
      <c r="JZ599" s="10">
        <f>JX599*1.5*JW599</f>
        <v>574.5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VLOOKUP(KD599,$A$681:$F$2272,6,FALSE)</f>
        <v>383</v>
      </c>
      <c r="KH599" s="203" t="s">
        <v>61</v>
      </c>
      <c r="KI599" s="10">
        <f>KG599*1.5*KF599</f>
        <v>574.5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VLOOKUP(KM599,$A$681:$F$2272,6,FALSE)</f>
        <v>383</v>
      </c>
      <c r="KQ599" s="203" t="s">
        <v>61</v>
      </c>
      <c r="KR599" s="10">
        <f>KP599*1.5</f>
        <v>574.5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VLOOKUP(KV599,$A$681:$F$2272,6,FALSE)</f>
        <v>461</v>
      </c>
      <c r="KZ599" s="203" t="s">
        <v>61</v>
      </c>
      <c r="LA599" s="10">
        <f>KY599*1.5*KX599</f>
        <v>691.5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VLOOKUP(LE599,$A$681:$F$2272,6,FALSE)</f>
        <v>622</v>
      </c>
      <c r="LI599" s="203" t="s">
        <v>61</v>
      </c>
      <c r="LJ599" s="10">
        <f>LH599*1.5*LG599</f>
        <v>933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VLOOKUP(LN599,$A$681:$F$2272,6,FALSE)</f>
        <v>622</v>
      </c>
      <c r="LR599" s="203" t="s">
        <v>61</v>
      </c>
      <c r="LS599" s="10">
        <f>LQ599*1.5*LP599</f>
        <v>933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VLOOKUP(LW599,$A$681:$F$2272,6,FALSE)</f>
        <v>383</v>
      </c>
      <c r="MA599" s="203" t="s">
        <v>61</v>
      </c>
      <c r="MB599" s="10">
        <f>LZ599*1.5*LY599</f>
        <v>574.5</v>
      </c>
      <c r="MC599" s="10"/>
      <c r="MD599" s="268"/>
      <c r="ME599" s="203" t="s">
        <v>60</v>
      </c>
      <c r="MF599" s="417" t="s">
        <v>569</v>
      </c>
      <c r="MG599" s="416" t="s">
        <v>2023</v>
      </c>
      <c r="MH599" s="284">
        <f>IF(MG599="Kopman",1.1,1)</f>
        <v>1.1000000000000001</v>
      </c>
      <c r="MI599" s="204">
        <f>VLOOKUP(MF599,$A$681:$F$2272,6,FALSE)</f>
        <v>622</v>
      </c>
      <c r="MJ599" s="203" t="s">
        <v>61</v>
      </c>
      <c r="MK599" s="10">
        <f>MI599*1.5*MH599</f>
        <v>1026.3000000000002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VLOOKUP(MO599,$A$681:$F$2272,6,FALSE)</f>
        <v>383</v>
      </c>
      <c r="MS599" s="203" t="s">
        <v>61</v>
      </c>
      <c r="MT599" s="10">
        <f>MR599*1.5*MQ599</f>
        <v>574.5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VLOOKUP(MX599,$A$681:$F$2272,6,FALSE)</f>
        <v>383</v>
      </c>
      <c r="NB599" s="203" t="s">
        <v>61</v>
      </c>
      <c r="NC599" s="10">
        <f>NA599*1.5*MZ599</f>
        <v>574.5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VLOOKUP(NG599,$A$681:$F$2272,6,FALSE)</f>
        <v>622</v>
      </c>
      <c r="NK599" s="203" t="s">
        <v>61</v>
      </c>
      <c r="NL599" s="10">
        <f>NJ599*1.5*NI599</f>
        <v>933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VLOOKUP(NP599,$A$681:$F$2272,6,FALSE)</f>
        <v>461</v>
      </c>
      <c r="NT599" s="203" t="s">
        <v>61</v>
      </c>
      <c r="NU599" s="10">
        <f>NS599*1.5*NR599</f>
        <v>691.5</v>
      </c>
      <c r="NV599" s="10"/>
      <c r="NW599" s="268"/>
      <c r="NX599" s="203" t="s">
        <v>60</v>
      </c>
      <c r="NY599" s="417" t="s">
        <v>1002</v>
      </c>
      <c r="NZ599" s="416" t="s">
        <v>2023</v>
      </c>
      <c r="OA599" s="284">
        <f>IF(NZ599="Kopman",1.1,1)</f>
        <v>1.1000000000000001</v>
      </c>
      <c r="OB599" s="204">
        <f>VLOOKUP(NY599,$A$681:$F$2272,6,FALSE)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2023</v>
      </c>
      <c r="OJ599" s="284">
        <f>IF(OI599="Kopman",1.1,1)</f>
        <v>1.1000000000000001</v>
      </c>
      <c r="OK599" s="204">
        <f>VLOOKUP(OH599,$A$681:$F$2272,6,FALSE)</f>
        <v>622</v>
      </c>
      <c r="OL599" s="203" t="s">
        <v>61</v>
      </c>
      <c r="OM599" s="10">
        <f>OK599*1.5*OJ599</f>
        <v>1026.3000000000002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VLOOKUP(OQ599,$A$681:$F$2272,6,FALSE)</f>
        <v>622</v>
      </c>
      <c r="OU599" s="203" t="s">
        <v>61</v>
      </c>
      <c r="OV599" s="10">
        <f>OT599*1.5*OS599</f>
        <v>933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VLOOKUP(OZ599,$A$681:$F$2272,6,FALSE)</f>
        <v>383</v>
      </c>
      <c r="PD599" s="203" t="s">
        <v>61</v>
      </c>
      <c r="PE599" s="10">
        <f>PC599*1.5*PB599</f>
        <v>574.5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VLOOKUP(PI599,$A$681:$F$2272,6,FALSE)</f>
        <v>622</v>
      </c>
      <c r="PM599" s="203" t="s">
        <v>61</v>
      </c>
      <c r="PN599" s="10">
        <f>PL599*1.5*PK599</f>
        <v>933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VLOOKUP(PR599,$A$681:$F$2272,6,FALSE)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VLOOKUP(QA599,$A$681:$F$2272,6,FALSE)</f>
        <v>622</v>
      </c>
      <c r="QE599" s="203" t="s">
        <v>61</v>
      </c>
      <c r="QF599" s="10">
        <f>QD599*1.5*QC599</f>
        <v>933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VLOOKUP(QJ599,$A$681:$F$2272,6,FALSE)</f>
        <v>622</v>
      </c>
      <c r="QN599" s="203" t="s">
        <v>61</v>
      </c>
      <c r="QO599" s="10">
        <f>QM599*1.5*QL599</f>
        <v>933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VLOOKUP(QS599,$A$681:$F$2272,6,FALSE)</f>
        <v>383</v>
      </c>
      <c r="QW599" s="203" t="s">
        <v>61</v>
      </c>
      <c r="QX599" s="10">
        <f>QV599*1.5*QU599</f>
        <v>574.5</v>
      </c>
      <c r="QY599" s="10"/>
      <c r="QZ599" s="268"/>
      <c r="RA599" s="203" t="s">
        <v>60</v>
      </c>
      <c r="RB599" s="417" t="s">
        <v>830</v>
      </c>
      <c r="RC599" s="416" t="s">
        <v>2023</v>
      </c>
      <c r="RD599" s="284">
        <f>IF(RC599="Kopman",1.1,1)</f>
        <v>1.1000000000000001</v>
      </c>
      <c r="RE599" s="204">
        <f>VLOOKUP(RB599,$A$681:$F$2272,6,FALSE)</f>
        <v>461</v>
      </c>
      <c r="RF599" s="203" t="s">
        <v>61</v>
      </c>
      <c r="RG599" s="10">
        <f>RE599*1.5*RD599</f>
        <v>760.65000000000009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VLOOKUP(RK599,$A$681:$F$2272,6,FALSE)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2023</v>
      </c>
      <c r="RV599" s="284">
        <f>IF(RU599="Kopman",1.1,1)</f>
        <v>1.1000000000000001</v>
      </c>
      <c r="RW599" s="204">
        <f>VLOOKUP(RT599,$A$681:$F$2272,6,FALSE)</f>
        <v>622</v>
      </c>
      <c r="RX599" s="203" t="s">
        <v>61</v>
      </c>
      <c r="RY599" s="10">
        <f>RW599*1.5*RV599</f>
        <v>1026.3000000000002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VLOOKUP(SC599,$A$681:$F$2272,6,FALSE)</f>
        <v>622</v>
      </c>
      <c r="SG599" s="203" t="s">
        <v>61</v>
      </c>
      <c r="SH599" s="10">
        <f>SF599*1.5*SE599</f>
        <v>933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VLOOKUP(SL599,$A$681:$F$2272,6,FALSE)</f>
        <v>622</v>
      </c>
      <c r="SP599" s="203" t="s">
        <v>61</v>
      </c>
      <c r="SQ599" s="10">
        <f>SO599*1.5*SN599</f>
        <v>933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VLOOKUP(SU599,$A$681:$F$2272,6,FALSE)</f>
        <v>342</v>
      </c>
      <c r="SY599" s="203" t="s">
        <v>61</v>
      </c>
      <c r="SZ599" s="10">
        <f>SX599*1.5*SW599</f>
        <v>513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VLOOKUP(TD599,$A$681:$F$2272,6,FALSE)</f>
        <v>383</v>
      </c>
      <c r="TH599" s="203" t="s">
        <v>61</v>
      </c>
      <c r="TI599" s="10">
        <f>TG599*1.5</f>
        <v>574.5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VLOOKUP(TM599,$A$681:$F$2272,6,FALSE)</f>
        <v>622</v>
      </c>
      <c r="TQ599" s="203" t="s">
        <v>61</v>
      </c>
      <c r="TR599" s="10">
        <f>TP599*1.5*TO599</f>
        <v>933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VLOOKUP(TV599,$A$681:$F$2272,6,FALSE)</f>
        <v>383</v>
      </c>
      <c r="TZ599" s="203" t="s">
        <v>61</v>
      </c>
      <c r="UA599" s="10">
        <f>TY599*1.5*TX599</f>
        <v>574.5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VLOOKUP(UE599,$A$681:$F$2272,6,FALSE)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VLOOKUP(UN599,$A$681:$F$2272,6,FALSE)</f>
        <v>622</v>
      </c>
      <c r="UR599" s="203" t="s">
        <v>61</v>
      </c>
      <c r="US599" s="10">
        <f>UQ599*1.5*UP599</f>
        <v>933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VLOOKUP(UW599,$A$681:$F$2272,6,FALSE)</f>
        <v>622</v>
      </c>
      <c r="VA599" s="203" t="s">
        <v>61</v>
      </c>
      <c r="VB599" s="10">
        <f>UZ599*1.5*UY599</f>
        <v>933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VLOOKUP(VF599,$A$681:$F$2272,6,FALSE)</f>
        <v>622</v>
      </c>
      <c r="VJ599" s="203" t="s">
        <v>61</v>
      </c>
      <c r="VK599" s="10">
        <f>VI599*1.5*VH599</f>
        <v>933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VLOOKUP(VO599,$A$681:$F$2272,6,FALSE)</f>
        <v>15</v>
      </c>
      <c r="VS599" s="203" t="s">
        <v>61</v>
      </c>
      <c r="VT599" s="10">
        <f>VR599*1.5*VQ599</f>
        <v>22.5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VLOOKUP(VX599,$A$681:$F$2272,6,FALSE)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2023</v>
      </c>
      <c r="WI599" s="284">
        <f>IF(WH599="Kopman",1.1,1)</f>
        <v>1.1000000000000001</v>
      </c>
      <c r="WJ599" s="204">
        <f>VLOOKUP(WG599,$A$681:$F$2272,6,FALSE)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VLOOKUP(WP599,$A$681:$F$2272,6,FALSE)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VLOOKUP(WY599,$A$681:$F$2272,6,FALSE)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VLOOKUP(XH599,$A$681:$F$2272,6,FALSE)</f>
        <v>622</v>
      </c>
      <c r="XL599" s="203" t="s">
        <v>61</v>
      </c>
      <c r="XM599" s="10">
        <f>XK599*1.5</f>
        <v>933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VLOOKUP(XQ599,$A$681:$F$2272,6,FALSE)</f>
        <v>622</v>
      </c>
      <c r="XU599" s="203" t="s">
        <v>61</v>
      </c>
      <c r="XV599" s="10">
        <f>XT599*1.5*XS599</f>
        <v>933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VLOOKUP(XZ599,$A$681:$F$2272,6,FALSE)</f>
        <v>622</v>
      </c>
      <c r="YD599" s="203" t="s">
        <v>61</v>
      </c>
      <c r="YE599" s="10">
        <f>YC599*1.5</f>
        <v>933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VLOOKUP(YI599,$A$681:$F$2272,6,FALSE)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VLOOKUP(YR599,$A$681:$F$2272,6,FALSE)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VLOOKUP(ZA599,$A$681:$F$2272,6,FALSE)</f>
        <v>622</v>
      </c>
      <c r="ZE599" s="203" t="s">
        <v>61</v>
      </c>
      <c r="ZF599" s="10">
        <f>ZD599*1.5</f>
        <v>933</v>
      </c>
      <c r="ZH599" s="274"/>
      <c r="ZI599" s="203" t="s">
        <v>60</v>
      </c>
      <c r="ZJ599" s="417" t="s">
        <v>569</v>
      </c>
      <c r="ZK599" s="416" t="s">
        <v>2023</v>
      </c>
      <c r="ZL599" s="284">
        <f>IF(ZK599="Kopman",1.1,1)</f>
        <v>1.1000000000000001</v>
      </c>
      <c r="ZM599" s="204">
        <f>VLOOKUP(ZJ599,$A$681:$F$2272,6,FALSE)</f>
        <v>622</v>
      </c>
      <c r="ZN599" s="203" t="s">
        <v>61</v>
      </c>
      <c r="ZO599" s="10">
        <f>ZM599*1.5</f>
        <v>933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VLOOKUP(ZS599,$A$681:$F$2272,6,FALSE)</f>
        <v>461</v>
      </c>
      <c r="ZW599" s="203" t="s">
        <v>61</v>
      </c>
      <c r="ZX599" s="10">
        <f>ZV599*1.5*ZU599</f>
        <v>691.5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VLOOKUP(AAB599,$A$681:$F$2272,6,FALSE)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VLOOKUP(AAK599,$A$681:$F$2272,6,FALSE)</f>
        <v>622</v>
      </c>
      <c r="AAO599" s="203" t="s">
        <v>61</v>
      </c>
      <c r="AAP599" s="10">
        <f>AAN599*1.5*AAM599</f>
        <v>933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VLOOKUP(AAT599,$A$681:$F$2272,6,FALSE)</f>
        <v>137</v>
      </c>
      <c r="AAX599" s="203" t="s">
        <v>61</v>
      </c>
      <c r="AAY599" s="10">
        <f>AAW599*1.5*AAV599</f>
        <v>205.5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VLOOKUP(ABC599,$A$681:$F$2272,6,FALSE)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VLOOKUP(ABL599,$A$681:$F$2272,6,FALSE)</f>
        <v>15</v>
      </c>
      <c r="ABP599" s="203" t="s">
        <v>61</v>
      </c>
      <c r="ABQ599" s="10">
        <f>ABO599*1.5*ABN599</f>
        <v>22.5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VLOOKUP(ABU599,$A$681:$F$2272,6,FALSE)</f>
        <v>622</v>
      </c>
      <c r="ABY599" s="203" t="s">
        <v>61</v>
      </c>
      <c r="ABZ599" s="10">
        <f>ABX599*1.5*ABW599</f>
        <v>933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VLOOKUP(ACD599,$A$681:$F$2272,6,FALSE)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VLOOKUP(ACM599,$A$681:$F$2272,6,FALSE)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VLOOKUP(ACV599,$A$681:$F$2272,6,FALSE)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VLOOKUP(ADE599,$A$681:$F$2272,6,FALSE)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VLOOKUP(ADN599,$A$681:$F$2272,6,FALSE)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VLOOKUP(ADW599,$A$681:$F$2272,6,FALSE)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VLOOKUP(AEF599,$A$681:$F$2272,6,FALSE)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VLOOKUP(AEO599,$A$681:$F$2272,6,FALSE)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VLOOKUP(AEX599,$A$681:$F$2272,6,FALSE)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VLOOKUP(AFG599,$A$681:$F$2272,6,FALSE)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VLOOKUP(AFP599,$A$681:$F$2272,6,FALSE)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VLOOKUP(AFY599,$A$681:$F$2272,6,FALSE)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VLOOKUP(AGH599,$A$681:$F$2272,6,FALSE)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VLOOKUP(AGQ599,$A$681:$F$2272,6,FALSE)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VLOOKUP(AGZ599,$A$681:$F$2272,6,FALSE)</f>
        <v>383</v>
      </c>
      <c r="AHD599" s="203" t="s">
        <v>61</v>
      </c>
      <c r="AHE599" s="10">
        <f>AHC599*1.5*AHB599</f>
        <v>574.5</v>
      </c>
      <c r="AHF599" s="10"/>
      <c r="AHG599" s="274"/>
      <c r="AHH599" s="203" t="s">
        <v>60</v>
      </c>
      <c r="AHI599" s="417" t="s">
        <v>478</v>
      </c>
      <c r="AHJ599" s="416" t="s">
        <v>2023</v>
      </c>
      <c r="AHK599" s="284">
        <f>IF(AHJ599="Kopman",1.1,1)</f>
        <v>1.1000000000000001</v>
      </c>
      <c r="AHL599" s="204">
        <f>VLOOKUP(AHI599,$A$681:$F$2272,6,FALSE)</f>
        <v>383</v>
      </c>
      <c r="AHM599" s="203" t="s">
        <v>61</v>
      </c>
      <c r="AHN599" s="10">
        <f>AHL599*1.5*AHK599</f>
        <v>631.95000000000005</v>
      </c>
      <c r="AHO599" s="10"/>
      <c r="AHP599" s="274"/>
      <c r="AHQ599" s="203" t="s">
        <v>60</v>
      </c>
      <c r="AHR599" s="417" t="s">
        <v>569</v>
      </c>
      <c r="AHS599" s="416" t="s">
        <v>2023</v>
      </c>
      <c r="AHT599" s="284">
        <f>IF(AHS599="Kopman",1.1,1)</f>
        <v>1.1000000000000001</v>
      </c>
      <c r="AHU599" s="204">
        <f>VLOOKUP(AHR599,$A$681:$F$2272,6,FALSE)</f>
        <v>622</v>
      </c>
      <c r="AHV599" s="203" t="s">
        <v>61</v>
      </c>
      <c r="AHW599" s="10">
        <f>AHU599*1.5*AHT599</f>
        <v>1026.3000000000002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VLOOKUP(AIA599,$A$681:$F$2272,6,FALSE)</f>
        <v>622</v>
      </c>
      <c r="AIE599" s="203" t="s">
        <v>61</v>
      </c>
      <c r="AIF599" s="10">
        <f>AID599*1.5*AIC599</f>
        <v>933</v>
      </c>
      <c r="AIG599" s="10"/>
      <c r="AIH599" s="274"/>
      <c r="AII599" s="203" t="s">
        <v>60</v>
      </c>
      <c r="AIJ599" s="417" t="s">
        <v>830</v>
      </c>
      <c r="AIK599" s="416" t="s">
        <v>2023</v>
      </c>
      <c r="AIL599" s="284">
        <f>IF(AIK599="Kopman",1.1,1)</f>
        <v>1.1000000000000001</v>
      </c>
      <c r="AIM599" s="204">
        <f>VLOOKUP(AIJ599,$A$681:$F$2272,6,FALSE)</f>
        <v>461</v>
      </c>
      <c r="AIN599" s="203" t="s">
        <v>61</v>
      </c>
      <c r="AIO599" s="10">
        <f>AIM599*1.5*AIL599</f>
        <v>760.65000000000009</v>
      </c>
      <c r="AIP599" s="10"/>
      <c r="AIQ599" s="274"/>
      <c r="AIR599" s="203" t="s">
        <v>60</v>
      </c>
      <c r="AIS599" s="417" t="s">
        <v>478</v>
      </c>
      <c r="AIT599" s="416" t="s">
        <v>2023</v>
      </c>
      <c r="AIU599" s="284">
        <f>IF(AIT599="Kopman",1.1,1)</f>
        <v>1.1000000000000001</v>
      </c>
      <c r="AIV599" s="204">
        <f>VLOOKUP(AIS599,$A$681:$F$2272,6,FALSE)</f>
        <v>383</v>
      </c>
      <c r="AIW599" s="203" t="s">
        <v>61</v>
      </c>
      <c r="AIX599" s="10">
        <f>AIV599*1.5*AIU599</f>
        <v>631.95000000000005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VLOOKUP(AJB599,$A$681:$F$2272,6,FALSE)</f>
        <v>622</v>
      </c>
      <c r="AJF599" s="203" t="s">
        <v>61</v>
      </c>
      <c r="AJG599" s="10">
        <f>AJE599*1.5*AJD599</f>
        <v>933</v>
      </c>
      <c r="AJH599" s="10"/>
      <c r="AJI599" s="274"/>
      <c r="AJJ599" s="203" t="s">
        <v>60</v>
      </c>
      <c r="AJK599" s="417" t="s">
        <v>478</v>
      </c>
      <c r="AJL599" s="416" t="s">
        <v>2023</v>
      </c>
      <c r="AJM599" s="284">
        <f>IF(AJL599="Kopman",1.1,1)</f>
        <v>1.1000000000000001</v>
      </c>
      <c r="AJN599" s="204">
        <f>VLOOKUP(AJK599,$A$681:$F$2272,6,FALSE)</f>
        <v>383</v>
      </c>
      <c r="AJO599" s="203" t="s">
        <v>61</v>
      </c>
      <c r="AJP599" s="10">
        <f>AJN599*1.5*AJM599</f>
        <v>631.95000000000005</v>
      </c>
      <c r="AJQ599" s="10"/>
      <c r="AJR599" s="274"/>
      <c r="AJS599" s="203" t="s">
        <v>60</v>
      </c>
      <c r="AJT599" s="417" t="s">
        <v>569</v>
      </c>
      <c r="AJU599" s="416" t="s">
        <v>2023</v>
      </c>
      <c r="AJV599" s="284">
        <f>IF(AJU599="Kopman",1.1,1)</f>
        <v>1.1000000000000001</v>
      </c>
      <c r="AJW599" s="204">
        <f>VLOOKUP(AJT599,$A$681:$F$2272,6,FALSE)</f>
        <v>622</v>
      </c>
      <c r="AJX599" s="203" t="s">
        <v>61</v>
      </c>
      <c r="AJY599" s="10">
        <f>AJW599*1.5*AJV599</f>
        <v>1026.3000000000002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VLOOKUP(AKC599,$A$681:$F$2272,6,FALSE)</f>
        <v>383</v>
      </c>
      <c r="AKG599" s="203" t="s">
        <v>61</v>
      </c>
      <c r="AKH599" s="10">
        <f>AKF599*1.5*AKE599</f>
        <v>574.5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VLOOKUP(AKL599,$A$681:$F$2272,6,FALSE)</f>
        <v>383</v>
      </c>
      <c r="AKP599" s="203" t="s">
        <v>61</v>
      </c>
      <c r="AKQ599" s="10">
        <f>AKO599*1.5*AKN599</f>
        <v>574.5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VLOOKUP(AKU599,$A$681:$F$2272,6,FALSE)</f>
        <v>149</v>
      </c>
      <c r="AKY599" s="203" t="s">
        <v>61</v>
      </c>
      <c r="AKZ599" s="10">
        <f>AKX599*1.5*AKW599</f>
        <v>223.5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VLOOKUP(ALD599,$A$681:$F$2272,6,FALSE)</f>
        <v>461</v>
      </c>
      <c r="ALH599" s="203" t="s">
        <v>61</v>
      </c>
      <c r="ALI599" s="10">
        <f>ALG599*1.5*ALF599</f>
        <v>691.5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VLOOKUP(ALM599,$A$681:$F$2272,6,FALSE)</f>
        <v>622</v>
      </c>
      <c r="ALQ599" s="203" t="s">
        <v>61</v>
      </c>
      <c r="ALR599" s="10">
        <f>ALP599*1.5*ALO599</f>
        <v>933</v>
      </c>
      <c r="ALS599" s="10"/>
      <c r="ALT599" s="274"/>
      <c r="ALU599" s="203" t="s">
        <v>60</v>
      </c>
      <c r="ALV599" s="417" t="s">
        <v>478</v>
      </c>
      <c r="ALW599" s="416" t="s">
        <v>2023</v>
      </c>
      <c r="ALX599" s="284">
        <f>IF(ALW599="Kopman",1.1,1)</f>
        <v>1.1000000000000001</v>
      </c>
      <c r="ALY599" s="204">
        <f>VLOOKUP(ALV599,$A$681:$F$2272,6,FALSE)</f>
        <v>383</v>
      </c>
      <c r="ALZ599" s="203" t="s">
        <v>61</v>
      </c>
      <c r="AMA599" s="10">
        <f>ALY599*1.5*ALX599</f>
        <v>631.95000000000005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VLOOKUP(AME599,$A$681:$F$2272,6,FALSE)</f>
        <v>461</v>
      </c>
      <c r="AMI599" s="203" t="s">
        <v>61</v>
      </c>
      <c r="AMJ599" s="10">
        <f>AMH599*1.5*AMG599</f>
        <v>691.5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VLOOKUP(AMN599,$A$681:$F$2272,6,FALSE)</f>
        <v>383</v>
      </c>
      <c r="AMR599" s="203" t="s">
        <v>61</v>
      </c>
      <c r="AMS599" s="10">
        <f>AMQ599*1.5*AMP599</f>
        <v>574.5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VLOOKUP(AMW599,$A$681:$F$2272,6,FALSE)</f>
        <v>461</v>
      </c>
      <c r="ANA599" s="203" t="s">
        <v>61</v>
      </c>
      <c r="ANB599" s="10">
        <f>AMZ599*1.5*AMY599</f>
        <v>691.5</v>
      </c>
      <c r="ANC599" s="10"/>
      <c r="AND599" s="274"/>
      <c r="ANE599" s="203" t="s">
        <v>60</v>
      </c>
      <c r="ANF599" s="417" t="s">
        <v>478</v>
      </c>
      <c r="ANG599" s="416" t="s">
        <v>2023</v>
      </c>
      <c r="ANH599" s="284">
        <f>IF(ANG599="Kopman",1.1,1)</f>
        <v>1.1000000000000001</v>
      </c>
      <c r="ANI599" s="204">
        <f>VLOOKUP(ANF599,$A$681:$F$2272,6,FALSE)</f>
        <v>383</v>
      </c>
      <c r="ANJ599" s="203" t="s">
        <v>61</v>
      </c>
      <c r="ANK599" s="10">
        <f>ANI599*1.5*ANH599</f>
        <v>631.95000000000005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VLOOKUP(ANO599,$A$681:$F$2272,6,FALSE)</f>
        <v>383</v>
      </c>
      <c r="ANS599" s="203" t="s">
        <v>61</v>
      </c>
      <c r="ANT599" s="10">
        <f>ANR599*1.5*ANQ599</f>
        <v>574.5</v>
      </c>
      <c r="ANU599" s="10"/>
      <c r="ANV599" s="274"/>
      <c r="ANW599" s="203" t="s">
        <v>60</v>
      </c>
      <c r="ANX599" s="417" t="s">
        <v>569</v>
      </c>
      <c r="ANY599" s="416" t="s">
        <v>2023</v>
      </c>
      <c r="ANZ599" s="284">
        <f>IF(ANY599="Kopman",1.1,1)</f>
        <v>1.1000000000000001</v>
      </c>
      <c r="AOA599" s="204">
        <f>VLOOKUP(ANX599,$A$681:$F$2272,6,FALSE)</f>
        <v>622</v>
      </c>
      <c r="AOB599" s="203" t="s">
        <v>61</v>
      </c>
      <c r="AOC599" s="10">
        <f>AOA599*1.5*ANZ599</f>
        <v>1026.3000000000002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VLOOKUP(AOG599,$A$681:$F$2272,6,FALSE)</f>
        <v>622</v>
      </c>
      <c r="AOK599" s="203" t="s">
        <v>61</v>
      </c>
      <c r="AOL599" s="10">
        <f>AOJ599*1.5*AOI599</f>
        <v>933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VLOOKUP(AOP599,$A$681:$F$2272,6,FALSE)</f>
        <v>383</v>
      </c>
      <c r="AOT599" s="203" t="s">
        <v>61</v>
      </c>
      <c r="AOU599" s="10">
        <f>AOS599*1.5*AOR599</f>
        <v>574.5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VLOOKUP(AOY599,$A$681:$F$2272,6,FALSE)</f>
        <v>622</v>
      </c>
      <c r="APC599" s="203" t="s">
        <v>61</v>
      </c>
      <c r="APD599" s="10">
        <f>APB599*1.5*APA599</f>
        <v>933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VLOOKUP(APH599,$A$681:$F$2272,6,FALSE)</f>
        <v>622</v>
      </c>
      <c r="APL599" s="203" t="s">
        <v>61</v>
      </c>
      <c r="APM599" s="10">
        <f>APK599*1.5*APJ599</f>
        <v>933</v>
      </c>
      <c r="APN599" s="10"/>
      <c r="APO599" s="274"/>
      <c r="APP599" s="203" t="s">
        <v>60</v>
      </c>
      <c r="APQ599" s="417" t="s">
        <v>830</v>
      </c>
      <c r="APR599" s="416" t="s">
        <v>2023</v>
      </c>
      <c r="APS599" s="284">
        <f>IF(APR599="Kopman",1.1,1)</f>
        <v>1.1000000000000001</v>
      </c>
      <c r="APT599" s="204">
        <f>VLOOKUP(APQ599,$A$681:$F$2272,6,FALSE)</f>
        <v>461</v>
      </c>
      <c r="APU599" s="203" t="s">
        <v>61</v>
      </c>
      <c r="APV599" s="10">
        <f>APT599*1.5*APS599</f>
        <v>760.65000000000009</v>
      </c>
      <c r="APW599" s="10"/>
      <c r="APX599" s="274"/>
      <c r="APY599" s="203" t="s">
        <v>60</v>
      </c>
      <c r="APZ599" s="417" t="s">
        <v>478</v>
      </c>
      <c r="AQA599" s="416" t="s">
        <v>2023</v>
      </c>
      <c r="AQB599" s="284">
        <f>IF(AQA599="Kopman",1.1,1)</f>
        <v>1.1000000000000001</v>
      </c>
      <c r="AQC599" s="204">
        <f>VLOOKUP(APZ599,$A$681:$F$2272,6,FALSE)</f>
        <v>383</v>
      </c>
      <c r="AQD599" s="203" t="s">
        <v>61</v>
      </c>
      <c r="AQE599" s="10">
        <f>AQC599*1.5*AQB599</f>
        <v>631.95000000000005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VLOOKUP(B600,$A$681:$F$2272,6,FALSE)</f>
        <v>461</v>
      </c>
      <c r="F600" s="203" t="s">
        <v>63</v>
      </c>
      <c r="G600" s="10">
        <f>E600*1.4</f>
        <v>645.4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VLOOKUP(K600,$A$681:$F$2272,6,FALSE)</f>
        <v>461</v>
      </c>
      <c r="O600" s="203" t="s">
        <v>63</v>
      </c>
      <c r="P600" s="10">
        <f>N600*1.4</f>
        <v>645.4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VLOOKUP(T600,$A$681:$F$2272,6,FALSE)</f>
        <v>383</v>
      </c>
      <c r="X600" s="203" t="s">
        <v>63</v>
      </c>
      <c r="Y600" s="10">
        <f>W600*1.4</f>
        <v>536.19999999999993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VLOOKUP(AC600,$A$681:$F$2272,6,FALSE)</f>
        <v>622</v>
      </c>
      <c r="AG600" s="203" t="s">
        <v>63</v>
      </c>
      <c r="AH600" s="10">
        <f>AF600*1.4</f>
        <v>870.8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VLOOKUP(AL600,$A$681:$F$2272,6,FALSE)</f>
        <v>383</v>
      </c>
      <c r="AP600" s="203" t="s">
        <v>63</v>
      </c>
      <c r="AQ600" s="10">
        <f>AO600*1.4</f>
        <v>536.19999999999993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VLOOKUP(AU600,$A$681:$F$2272,6,FALSE)</f>
        <v>383</v>
      </c>
      <c r="AY600" s="203" t="s">
        <v>63</v>
      </c>
      <c r="AZ600" s="10">
        <f>AX600*1.4</f>
        <v>536.19999999999993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VLOOKUP(BD600,$A$681:$F$2272,6,FALSE)</f>
        <v>622</v>
      </c>
      <c r="BH600" s="203" t="s">
        <v>63</v>
      </c>
      <c r="BI600" s="10">
        <f>BG600*1.4</f>
        <v>870.8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VLOOKUP(BM600,$A$681:$F$2272,6,FALSE)</f>
        <v>461</v>
      </c>
      <c r="BQ600" s="203" t="s">
        <v>63</v>
      </c>
      <c r="BR600" s="10">
        <f>BP600*1.4</f>
        <v>645.4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VLOOKUP(BV600,$A$681:$F$2272,6,FALSE)</f>
        <v>461</v>
      </c>
      <c r="BZ600" s="203" t="s">
        <v>63</v>
      </c>
      <c r="CA600" s="10">
        <f>BY600*1.4</f>
        <v>645.4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VLOOKUP(CE600,$A$681:$F$2272,6,FALSE)</f>
        <v>383</v>
      </c>
      <c r="CI600" s="203" t="s">
        <v>63</v>
      </c>
      <c r="CJ600" s="10">
        <f>CH600*1.4</f>
        <v>536.19999999999993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VLOOKUP(CN600,$A$681:$F$2272,6,FALSE)</f>
        <v>461</v>
      </c>
      <c r="CR600" s="203" t="s">
        <v>63</v>
      </c>
      <c r="CS600" s="10">
        <f>CQ600*1.4</f>
        <v>645.4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VLOOKUP(CW600,$A$681:$F$2272,6,FALSE)</f>
        <v>622</v>
      </c>
      <c r="DA600" s="203" t="s">
        <v>63</v>
      </c>
      <c r="DB600" s="10">
        <f>CZ600*1.4</f>
        <v>870.8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VLOOKUP(DF600,$A$681:$F$2272,6,FALSE)</f>
        <v>622</v>
      </c>
      <c r="DJ600" s="203" t="s">
        <v>63</v>
      </c>
      <c r="DK600" s="10">
        <f>DI600*1.4</f>
        <v>870.8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VLOOKUP(DO600,$A$681:$F$2272,6,FALSE)</f>
        <v>461</v>
      </c>
      <c r="DS600" s="203" t="s">
        <v>63</v>
      </c>
      <c r="DT600" s="10">
        <f>DR600*1.4</f>
        <v>645.4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VLOOKUP(DX600,$A$681:$F$2272,6,FALSE)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VLOOKUP(EG600,$A$681:$F$2272,6,FALSE)</f>
        <v>15</v>
      </c>
      <c r="EK600" s="203" t="s">
        <v>63</v>
      </c>
      <c r="EL600" s="10">
        <f>EJ600*1.4</f>
        <v>21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VLOOKUP(EP600,$A$681:$F$2272,6,FALSE)</f>
        <v>622</v>
      </c>
      <c r="ET600" s="203" t="s">
        <v>63</v>
      </c>
      <c r="EU600" s="10">
        <f>ES600*1.4</f>
        <v>870.8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VLOOKUP(EY600,$A$681:$F$2272,6,FALSE)</f>
        <v>622</v>
      </c>
      <c r="FC600" s="203" t="s">
        <v>63</v>
      </c>
      <c r="FD600" s="10">
        <f>FB600*1.4</f>
        <v>870.8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VLOOKUP(FH600,$A$681:$F$2272,6,FALSE)</f>
        <v>383</v>
      </c>
      <c r="FL600" s="203" t="s">
        <v>63</v>
      </c>
      <c r="FM600" s="10">
        <f>FK600*1.4</f>
        <v>536.19999999999993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VLOOKUP(FQ600,$A$681:$F$2272,6,FALSE)</f>
        <v>383</v>
      </c>
      <c r="FU600" s="203" t="s">
        <v>63</v>
      </c>
      <c r="FV600" s="10">
        <f>FT600*1.4</f>
        <v>536.19999999999993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VLOOKUP(FZ600,$A$681:$F$2272,6,FALSE)</f>
        <v>461</v>
      </c>
      <c r="GD600" s="203" t="s">
        <v>63</v>
      </c>
      <c r="GE600" s="10">
        <f>GC600*1.4</f>
        <v>645.4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VLOOKUP(GI600,$A$681:$F$2272,6,FALSE)</f>
        <v>383</v>
      </c>
      <c r="GM600" s="203" t="s">
        <v>63</v>
      </c>
      <c r="GN600" s="10">
        <f>GL600*1.4</f>
        <v>536.19999999999993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VLOOKUP(GR600,$A$681:$F$2272,6,FALSE)</f>
        <v>383</v>
      </c>
      <c r="GV600" s="203" t="s">
        <v>63</v>
      </c>
      <c r="GW600" s="10">
        <f>GU600*1.4</f>
        <v>536.19999999999993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VLOOKUP(HA600,$A$681:$F$2272,6,FALSE)</f>
        <v>622</v>
      </c>
      <c r="HE600" s="203" t="s">
        <v>63</v>
      </c>
      <c r="HF600" s="10">
        <f>HD600*1.4</f>
        <v>870.8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VLOOKUP(HJ600,$A$681:$F$2272,6,FALSE)</f>
        <v>461</v>
      </c>
      <c r="HN600" s="203" t="s">
        <v>63</v>
      </c>
      <c r="HO600" s="10">
        <f>HM600*1.4</f>
        <v>645.4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VLOOKUP(HS600,$A$681:$F$2272,6,FALSE)</f>
        <v>383</v>
      </c>
      <c r="HW600" s="203" t="s">
        <v>63</v>
      </c>
      <c r="HX600" s="10">
        <f>HV600*1.4</f>
        <v>536.19999999999993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VLOOKUP(IB600,$A$681:$F$2272,6,FALSE)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VLOOKUP(IK600,$A$681:$F$2272,6,FALSE)</f>
        <v>461</v>
      </c>
      <c r="IO600" s="203" t="s">
        <v>63</v>
      </c>
      <c r="IP600" s="10">
        <f>IN600*1.4</f>
        <v>645.4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VLOOKUP(IT600,$A$681:$F$2272,6,FALSE)</f>
        <v>461</v>
      </c>
      <c r="IX600" s="203" t="s">
        <v>63</v>
      </c>
      <c r="IY600" s="10">
        <f>IW600*1.4</f>
        <v>645.4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VLOOKUP(JC600,$A$681:$F$2272,6,FALSE)</f>
        <v>622</v>
      </c>
      <c r="JG600" s="203" t="s">
        <v>63</v>
      </c>
      <c r="JH600" s="10">
        <f>JF600*1.4</f>
        <v>870.8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VLOOKUP(JL600,$A$681:$F$2272,6,FALSE)</f>
        <v>15</v>
      </c>
      <c r="JP600" s="203" t="s">
        <v>63</v>
      </c>
      <c r="JQ600" s="10">
        <f>JO600*1.4</f>
        <v>21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VLOOKUP(JU600,$A$681:$F$2272,6,FALSE)</f>
        <v>342</v>
      </c>
      <c r="JY600" s="203" t="s">
        <v>63</v>
      </c>
      <c r="JZ600" s="10">
        <f>JX600*1.4</f>
        <v>478.79999999999995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VLOOKUP(KD600,$A$681:$F$2272,6,FALSE)</f>
        <v>622</v>
      </c>
      <c r="KH600" s="203" t="s">
        <v>63</v>
      </c>
      <c r="KI600" s="10">
        <f>KG600*1.4</f>
        <v>870.8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VLOOKUP(KM600,$A$681:$F$2272,6,FALSE)</f>
        <v>622</v>
      </c>
      <c r="KQ600" s="203" t="s">
        <v>63</v>
      </c>
      <c r="KR600" s="10">
        <f>KP600*1.4</f>
        <v>870.8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VLOOKUP(KV600,$A$681:$F$2272,6,FALSE)</f>
        <v>622</v>
      </c>
      <c r="KZ600" s="203" t="s">
        <v>63</v>
      </c>
      <c r="LA600" s="10">
        <f>KY600*1.4</f>
        <v>870.8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VLOOKUP(LE600,$A$681:$F$2272,6,FALSE)</f>
        <v>461</v>
      </c>
      <c r="LI600" s="203" t="s">
        <v>63</v>
      </c>
      <c r="LJ600" s="10">
        <f>LH600*1.4</f>
        <v>645.4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VLOOKUP(LN600,$A$681:$F$2272,6,FALSE)</f>
        <v>461</v>
      </c>
      <c r="LR600" s="203" t="s">
        <v>63</v>
      </c>
      <c r="LS600" s="10">
        <f>LQ600*1.4</f>
        <v>645.4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VLOOKUP(LW600,$A$681:$F$2272,6,FALSE)</f>
        <v>622</v>
      </c>
      <c r="MA600" s="203" t="s">
        <v>63</v>
      </c>
      <c r="MB600" s="10">
        <f>LZ600*1.4</f>
        <v>870.8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VLOOKUP(MF600,$A$681:$F$2272,6,FALSE)</f>
        <v>383</v>
      </c>
      <c r="MJ600" s="203" t="s">
        <v>63</v>
      </c>
      <c r="MK600" s="10">
        <f>MI600*1.4</f>
        <v>536.19999999999993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VLOOKUP(MO600,$A$681:$F$2272,6,FALSE)</f>
        <v>149</v>
      </c>
      <c r="MS600" s="203" t="s">
        <v>63</v>
      </c>
      <c r="MT600" s="10">
        <f>MR600*1.4</f>
        <v>208.6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VLOOKUP(MX600,$A$681:$F$2272,6,FALSE)</f>
        <v>622</v>
      </c>
      <c r="NB600" s="203" t="s">
        <v>63</v>
      </c>
      <c r="NC600" s="10">
        <f>NA600*1.4</f>
        <v>870.8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VLOOKUP(NG600,$A$681:$F$2272,6,FALSE)</f>
        <v>461</v>
      </c>
      <c r="NK600" s="203" t="s">
        <v>63</v>
      </c>
      <c r="NL600" s="10">
        <f>NJ600*1.4</f>
        <v>645.4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VLOOKUP(NP600,$A$681:$F$2272,6,FALSE)</f>
        <v>383</v>
      </c>
      <c r="NT600" s="203" t="s">
        <v>63</v>
      </c>
      <c r="NU600" s="10">
        <f>NS600*1.4</f>
        <v>536.19999999999993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VLOOKUP(NY600,$A$681:$F$2272,6,FALSE)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VLOOKUP(OH600,$A$681:$F$2272,6,FALSE)</f>
        <v>383</v>
      </c>
      <c r="OL600" s="203" t="s">
        <v>63</v>
      </c>
      <c r="OM600" s="10">
        <f>OK600*1.4</f>
        <v>536.19999999999993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VLOOKUP(OQ600,$A$681:$F$2272,6,FALSE)</f>
        <v>383</v>
      </c>
      <c r="OU600" s="203" t="s">
        <v>63</v>
      </c>
      <c r="OV600" s="10">
        <f>OT600*1.4</f>
        <v>536.19999999999993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VLOOKUP(OZ600,$A$681:$F$2272,6,FALSE)</f>
        <v>622</v>
      </c>
      <c r="PD600" s="203" t="s">
        <v>63</v>
      </c>
      <c r="PE600" s="10">
        <f>PC600*1.4</f>
        <v>870.8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VLOOKUP(PI600,$A$681:$F$2272,6,FALSE)</f>
        <v>461</v>
      </c>
      <c r="PM600" s="203" t="s">
        <v>63</v>
      </c>
      <c r="PN600" s="10">
        <f>PL600*1.4</f>
        <v>645.4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VLOOKUP(PR600,$A$681:$F$2272,6,FALSE)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VLOOKUP(QA600,$A$681:$F$2272,6,FALSE)</f>
        <v>383</v>
      </c>
      <c r="QE600" s="203" t="s">
        <v>63</v>
      </c>
      <c r="QF600" s="10">
        <f>QD600*1.4</f>
        <v>536.19999999999993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VLOOKUP(QJ600,$A$681:$F$2272,6,FALSE)</f>
        <v>461</v>
      </c>
      <c r="QN600" s="203" t="s">
        <v>63</v>
      </c>
      <c r="QO600" s="10">
        <f>QM600*1.4</f>
        <v>645.4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VLOOKUP(QS600,$A$681:$F$2272,6,FALSE)</f>
        <v>622</v>
      </c>
      <c r="QW600" s="203" t="s">
        <v>63</v>
      </c>
      <c r="QX600" s="10">
        <f>QV600*1.4</f>
        <v>870.8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VLOOKUP(RB600,$A$681:$F$2272,6,FALSE)</f>
        <v>149</v>
      </c>
      <c r="RF600" s="203" t="s">
        <v>63</v>
      </c>
      <c r="RG600" s="10">
        <f>RE600*1.4</f>
        <v>208.6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VLOOKUP(RK600,$A$681:$F$2272,6,FALSE)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VLOOKUP(RT600,$A$681:$F$2272,6,FALSE)</f>
        <v>461</v>
      </c>
      <c r="RX600" s="203" t="s">
        <v>63</v>
      </c>
      <c r="RY600" s="10">
        <f>RW600*1.4</f>
        <v>645.4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VLOOKUP(SC600,$A$681:$F$2272,6,FALSE)</f>
        <v>383</v>
      </c>
      <c r="SG600" s="203" t="s">
        <v>63</v>
      </c>
      <c r="SH600" s="10">
        <f>SF600*1.4</f>
        <v>536.19999999999993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VLOOKUP(SL600,$A$681:$F$2272,6,FALSE)</f>
        <v>461</v>
      </c>
      <c r="SP600" s="203" t="s">
        <v>63</v>
      </c>
      <c r="SQ600" s="10">
        <f>SO600*1.4</f>
        <v>645.4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VLOOKUP(SU600,$A$681:$F$2272,6,FALSE)</f>
        <v>15</v>
      </c>
      <c r="SY600" s="203" t="s">
        <v>63</v>
      </c>
      <c r="SZ600" s="10">
        <f>SX600*1.4</f>
        <v>21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VLOOKUP(TD600,$A$681:$F$2272,6,FALSE)</f>
        <v>622</v>
      </c>
      <c r="TH600" s="203" t="s">
        <v>63</v>
      </c>
      <c r="TI600" s="10">
        <f>TG600*1.4</f>
        <v>870.8</v>
      </c>
      <c r="TK600" s="274"/>
      <c r="TL600" s="203" t="s">
        <v>62</v>
      </c>
      <c r="TM600" s="277" t="s">
        <v>830</v>
      </c>
      <c r="TO600" s="204"/>
      <c r="TP600" s="204">
        <f>VLOOKUP(TM600,$A$681:$F$2272,6,FALSE)</f>
        <v>461</v>
      </c>
      <c r="TQ600" s="203" t="s">
        <v>63</v>
      </c>
      <c r="TR600" s="10">
        <f>TP600*1.4</f>
        <v>645.4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VLOOKUP(TV600,$A$681:$F$2272,6,FALSE)</f>
        <v>622</v>
      </c>
      <c r="TZ600" s="203" t="s">
        <v>63</v>
      </c>
      <c r="UA600" s="10">
        <f>TY600*1.4</f>
        <v>870.8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VLOOKUP(UE600,$A$681:$F$2272,6,FALSE)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VLOOKUP(UN600,$A$681:$F$2272,6,FALSE)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VLOOKUP(UW600,$A$681:$F$2272,6,FALSE)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VLOOKUP(VF600,$A$681:$F$2272,6,FALSE)</f>
        <v>461</v>
      </c>
      <c r="VJ600" s="203" t="s">
        <v>63</v>
      </c>
      <c r="VK600" s="10">
        <f>VI600*1.4</f>
        <v>645.4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VLOOKUP(VO600,$A$681:$F$2272,6,FALSE)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VLOOKUP(VX600,$A$681:$F$2272,6,FALSE)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VLOOKUP(WG600,$A$681:$F$2272,6,FALSE)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VLOOKUP(WP600,$A$681:$F$2272,6,FALSE)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VLOOKUP(WY600,$A$681:$F$2272,6,FALSE)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VLOOKUP(XH600,$A$681:$F$2272,6,FALSE)</f>
        <v>461</v>
      </c>
      <c r="XL600" s="203" t="s">
        <v>63</v>
      </c>
      <c r="XM600" s="10">
        <f>XK600*1.4</f>
        <v>645.4</v>
      </c>
      <c r="XO600" s="274"/>
      <c r="XP600" s="203" t="s">
        <v>62</v>
      </c>
      <c r="XQ600" s="277" t="s">
        <v>957</v>
      </c>
      <c r="XS600" s="204"/>
      <c r="XT600" s="204">
        <f>VLOOKUP(XQ600,$A$681:$F$2272,6,FALSE)</f>
        <v>149</v>
      </c>
      <c r="XU600" s="203" t="s">
        <v>63</v>
      </c>
      <c r="XV600" s="10">
        <f>XT600*1.4</f>
        <v>208.6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VLOOKUP(XZ600,$A$681:$F$2272,6,FALSE)</f>
        <v>383</v>
      </c>
      <c r="YD600" s="203" t="s">
        <v>63</v>
      </c>
      <c r="YE600" s="10">
        <f>YC600*1.4</f>
        <v>536.19999999999993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VLOOKUP(YI600,$A$681:$F$2272,6,FALSE)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VLOOKUP(YR600,$A$681:$F$2272,6,FALSE)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VLOOKUP(ZA600,$A$681:$F$2272,6,FALSE)</f>
        <v>461</v>
      </c>
      <c r="ZE600" s="203" t="s">
        <v>63</v>
      </c>
      <c r="ZF600" s="10">
        <f>ZD600*1.4</f>
        <v>645.4</v>
      </c>
      <c r="ZH600" s="274"/>
      <c r="ZI600" s="203" t="s">
        <v>62</v>
      </c>
      <c r="ZJ600" s="277" t="s">
        <v>830</v>
      </c>
      <c r="ZL600" s="204"/>
      <c r="ZM600" s="204">
        <f>VLOOKUP(ZJ600,$A$681:$F$2272,6,FALSE)</f>
        <v>461</v>
      </c>
      <c r="ZN600" s="203" t="s">
        <v>63</v>
      </c>
      <c r="ZO600" s="10">
        <f>ZM600*1.4</f>
        <v>645.4</v>
      </c>
      <c r="ZQ600" s="274"/>
      <c r="ZR600" s="203" t="s">
        <v>62</v>
      </c>
      <c r="ZS600" s="277" t="s">
        <v>569</v>
      </c>
      <c r="ZU600" s="204"/>
      <c r="ZV600" s="204">
        <f>VLOOKUP(ZS600,$A$681:$F$2272,6,FALSE)</f>
        <v>622</v>
      </c>
      <c r="ZW600" s="203" t="s">
        <v>63</v>
      </c>
      <c r="ZX600" s="10">
        <f>ZV600*1.4</f>
        <v>870.8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VLOOKUP(AAB600,$A$681:$F$2272,6,FALSE)</f>
        <v>137</v>
      </c>
      <c r="AAF600" s="203" t="s">
        <v>63</v>
      </c>
      <c r="AAG600" s="10">
        <f>AAE600*1.4</f>
        <v>191.79999999999998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VLOOKUP(AAK600,$A$681:$F$2272,6,FALSE)</f>
        <v>342</v>
      </c>
      <c r="AAO600" s="203" t="s">
        <v>63</v>
      </c>
      <c r="AAP600" s="10">
        <f>AAN600*1.4</f>
        <v>478.79999999999995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VLOOKUP(AAT600,$A$681:$F$2272,6,FALSE)</f>
        <v>622</v>
      </c>
      <c r="AAX600" s="203" t="s">
        <v>63</v>
      </c>
      <c r="AAY600" s="10">
        <f>AAW600*1.4</f>
        <v>870.8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VLOOKUP(ABC600,$A$681:$F$2272,6,FALSE)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VLOOKUP(ABL600,$A$681:$F$2272,6,FALSE)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VLOOKUP(ABU600,$A$681:$F$2272,6,FALSE)</f>
        <v>383</v>
      </c>
      <c r="ABY600" s="203" t="s">
        <v>63</v>
      </c>
      <c r="ABZ600" s="10">
        <f>ABX600*1.4</f>
        <v>536.19999999999993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VLOOKUP(ACD600,$A$681:$F$2272,6,FALSE)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VLOOKUP(ACM600,$A$681:$F$2272,6,FALSE)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VLOOKUP(ACV600,$A$681:$F$2272,6,FALSE)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VLOOKUP(ADE600,$A$681:$F$2272,6,FALSE)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VLOOKUP(ADN600,$A$681:$F$2272,6,FALSE)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VLOOKUP(ADW600,$A$681:$F$2272,6,FALSE)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VLOOKUP(AEF600,$A$681:$F$2272,6,FALSE)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VLOOKUP(AEO600,$A$681:$F$2272,6,FALSE)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VLOOKUP(AEX600,$A$681:$F$2272,6,FALSE)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VLOOKUP(AFG600,$A$681:$F$2272,6,FALSE)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VLOOKUP(AFP600,$A$681:$F$2272,6,FALSE)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VLOOKUP(AFY600,$A$681:$F$2272,6,FALSE)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VLOOKUP(AGH600,$A$681:$F$2272,6,FALSE)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VLOOKUP(AGQ600,$A$681:$F$2272,6,FALSE)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VLOOKUP(AGZ600,$A$681:$F$2272,6,FALSE)</f>
        <v>622</v>
      </c>
      <c r="AHD600" s="203" t="s">
        <v>63</v>
      </c>
      <c r="AHE600" s="10">
        <f>AHC600*1.4</f>
        <v>870.8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VLOOKUP(AHI600,$A$681:$F$2272,6,FALSE)</f>
        <v>622</v>
      </c>
      <c r="AHM600" s="203" t="s">
        <v>63</v>
      </c>
      <c r="AHN600" s="10">
        <f>AHL600*1.4</f>
        <v>870.8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VLOOKUP(AHR600,$A$681:$F$2272,6,FALSE)</f>
        <v>461</v>
      </c>
      <c r="AHV600" s="203" t="s">
        <v>63</v>
      </c>
      <c r="AHW600" s="10">
        <f>AHU600*1.4</f>
        <v>645.4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VLOOKUP(AIA600,$A$681:$F$2272,6,FALSE)</f>
        <v>461</v>
      </c>
      <c r="AIE600" s="203" t="s">
        <v>63</v>
      </c>
      <c r="AIF600" s="10">
        <f>AID600*1.4</f>
        <v>645.4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VLOOKUP(AIJ600,$A$681:$F$2272,6,FALSE)</f>
        <v>622</v>
      </c>
      <c r="AIN600" s="203" t="s">
        <v>63</v>
      </c>
      <c r="AIO600" s="10">
        <f>AIM600*1.4</f>
        <v>870.8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VLOOKUP(AIS600,$A$681:$F$2272,6,FALSE)</f>
        <v>461</v>
      </c>
      <c r="AIW600" s="203" t="s">
        <v>63</v>
      </c>
      <c r="AIX600" s="10">
        <f>AIV600*1.4</f>
        <v>645.4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VLOOKUP(AJB600,$A$681:$F$2272,6,FALSE)</f>
        <v>461</v>
      </c>
      <c r="AJF600" s="203" t="s">
        <v>63</v>
      </c>
      <c r="AJG600" s="10">
        <f>AJE600*1.4</f>
        <v>645.4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VLOOKUP(AJK600,$A$681:$F$2272,6,FALSE)</f>
        <v>622</v>
      </c>
      <c r="AJO600" s="203" t="s">
        <v>63</v>
      </c>
      <c r="AJP600" s="10">
        <f>AJN600*1.4</f>
        <v>870.8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VLOOKUP(AJT600,$A$681:$F$2272,6,FALSE)</f>
        <v>461</v>
      </c>
      <c r="AJX600" s="203" t="s">
        <v>63</v>
      </c>
      <c r="AJY600" s="10">
        <f>AJW600*1.4</f>
        <v>645.4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VLOOKUP(AKC600,$A$681:$F$2272,6,FALSE)</f>
        <v>342</v>
      </c>
      <c r="AKG600" s="203" t="s">
        <v>63</v>
      </c>
      <c r="AKH600" s="10">
        <f>AKF600*1.4</f>
        <v>478.79999999999995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VLOOKUP(AKL600,$A$681:$F$2272,6,FALSE)</f>
        <v>622</v>
      </c>
      <c r="AKP600" s="203" t="s">
        <v>63</v>
      </c>
      <c r="AKQ600" s="10">
        <f>AKO600*1.4</f>
        <v>870.8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VLOOKUP(AKU600,$A$681:$F$2272,6,FALSE)</f>
        <v>383</v>
      </c>
      <c r="AKY600" s="203" t="s">
        <v>63</v>
      </c>
      <c r="AKZ600" s="10">
        <f>AKX600*1.4</f>
        <v>536.19999999999993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VLOOKUP(ALD600,$A$681:$F$2272,6,FALSE)</f>
        <v>622</v>
      </c>
      <c r="ALH600" s="203" t="s">
        <v>63</v>
      </c>
      <c r="ALI600" s="10">
        <f>ALG600*1.4</f>
        <v>870.8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VLOOKUP(ALM600,$A$681:$F$2272,6,FALSE)</f>
        <v>137</v>
      </c>
      <c r="ALQ600" s="203" t="s">
        <v>63</v>
      </c>
      <c r="ALR600" s="10">
        <f>ALP600*1.4</f>
        <v>191.79999999999998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VLOOKUP(ALV600,$A$681:$F$2272,6,FALSE)</f>
        <v>461</v>
      </c>
      <c r="ALZ600" s="203" t="s">
        <v>63</v>
      </c>
      <c r="AMA600" s="10">
        <f>ALY600*1.4</f>
        <v>645.4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VLOOKUP(AME600,$A$681:$F$2272,6,FALSE)</f>
        <v>622</v>
      </c>
      <c r="AMI600" s="203" t="s">
        <v>63</v>
      </c>
      <c r="AMJ600" s="10">
        <f>AMH600*1.4</f>
        <v>870.8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VLOOKUP(AMN600,$A$681:$F$2272,6,FALSE)</f>
        <v>622</v>
      </c>
      <c r="AMR600" s="203" t="s">
        <v>63</v>
      </c>
      <c r="AMS600" s="10">
        <f>AMQ600*1.4</f>
        <v>870.8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VLOOKUP(AMW600,$A$681:$F$2272,6,FALSE)</f>
        <v>383</v>
      </c>
      <c r="ANA600" s="203" t="s">
        <v>63</v>
      </c>
      <c r="ANB600" s="10">
        <f>AMZ600*1.4</f>
        <v>536.19999999999993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VLOOKUP(ANF600,$A$681:$F$2272,6,FALSE)</f>
        <v>622</v>
      </c>
      <c r="ANJ600" s="203" t="s">
        <v>63</v>
      </c>
      <c r="ANK600" s="10">
        <f>ANI600*1.4</f>
        <v>870.8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VLOOKUP(ANO600,$A$681:$F$2272,6,FALSE)</f>
        <v>137</v>
      </c>
      <c r="ANS600" s="203" t="s">
        <v>63</v>
      </c>
      <c r="ANT600" s="10">
        <f>ANR600*1.4</f>
        <v>191.79999999999998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VLOOKUP(ANX600,$A$681:$F$2272,6,FALSE)</f>
        <v>461</v>
      </c>
      <c r="AOB600" s="203" t="s">
        <v>63</v>
      </c>
      <c r="AOC600" s="10">
        <f>AOA600*1.4</f>
        <v>645.4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VLOOKUP(AOG600,$A$681:$F$2272,6,FALSE)</f>
        <v>461</v>
      </c>
      <c r="AOK600" s="203" t="s">
        <v>63</v>
      </c>
      <c r="AOL600" s="10">
        <f>AOJ600*1.4</f>
        <v>645.4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VLOOKUP(AOP600,$A$681:$F$2272,6,FALSE)</f>
        <v>622</v>
      </c>
      <c r="AOT600" s="203" t="s">
        <v>63</v>
      </c>
      <c r="AOU600" s="10">
        <f>AOS600*1.4</f>
        <v>870.8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VLOOKUP(AOY600,$A$681:$F$2272,6,FALSE)</f>
        <v>461</v>
      </c>
      <c r="APC600" s="203" t="s">
        <v>63</v>
      </c>
      <c r="APD600" s="10">
        <f>APB600*1.4</f>
        <v>645.4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VLOOKUP(APH600,$A$681:$F$2272,6,FALSE)</f>
        <v>383</v>
      </c>
      <c r="APL600" s="203" t="s">
        <v>63</v>
      </c>
      <c r="APM600" s="10">
        <f>APK600*1.4</f>
        <v>536.19999999999993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VLOOKUP(APQ600,$A$681:$F$2272,6,FALSE)</f>
        <v>383</v>
      </c>
      <c r="APU600" s="203" t="s">
        <v>63</v>
      </c>
      <c r="APV600" s="10">
        <f>APT600*1.4</f>
        <v>536.19999999999993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VLOOKUP(APZ600,$A$681:$F$2272,6,FALSE)</f>
        <v>461</v>
      </c>
      <c r="AQD600" s="203" t="s">
        <v>63</v>
      </c>
      <c r="AQE600" s="10">
        <f>AQC600*1.4</f>
        <v>645.4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VLOOKUP(B601,$A$681:$F$2272,6,FALSE)</f>
        <v>383</v>
      </c>
      <c r="F601" s="203" t="s">
        <v>65</v>
      </c>
      <c r="G601" s="10">
        <f>E601*1.3</f>
        <v>497.90000000000003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VLOOKUP(K601,$A$681:$F$2272,6,FALSE)</f>
        <v>383</v>
      </c>
      <c r="O601" s="203" t="s">
        <v>65</v>
      </c>
      <c r="P601" s="10">
        <f>N601*1.3</f>
        <v>497.90000000000003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VLOOKUP(T601,$A$681:$F$2272,6,FALSE)</f>
        <v>461</v>
      </c>
      <c r="X601" s="203" t="s">
        <v>65</v>
      </c>
      <c r="Y601" s="10">
        <f>W601*1.3</f>
        <v>599.30000000000007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VLOOKUP(AC601,$A$681:$F$2272,6,FALSE)</f>
        <v>383</v>
      </c>
      <c r="AG601" s="203" t="s">
        <v>65</v>
      </c>
      <c r="AH601" s="10">
        <f>AF601*1.3</f>
        <v>497.90000000000003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VLOOKUP(AL601,$A$681:$F$2272,6,FALSE)</f>
        <v>149</v>
      </c>
      <c r="AP601" s="203" t="s">
        <v>65</v>
      </c>
      <c r="AQ601" s="10">
        <f>AO601*1.3</f>
        <v>193.70000000000002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VLOOKUP(AU601,$A$681:$F$2272,6,FALSE)</f>
        <v>461</v>
      </c>
      <c r="AY601" s="203" t="s">
        <v>65</v>
      </c>
      <c r="AZ601" s="10">
        <f>AX601*1.3</f>
        <v>599.30000000000007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VLOOKUP(BD601,$A$681:$F$2272,6,FALSE)</f>
        <v>461</v>
      </c>
      <c r="BH601" s="203" t="s">
        <v>65</v>
      </c>
      <c r="BI601" s="10">
        <f>BG601*1.3</f>
        <v>599.30000000000007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VLOOKUP(BM601,$A$681:$F$2272,6,FALSE)</f>
        <v>149</v>
      </c>
      <c r="BQ601" s="203" t="s">
        <v>65</v>
      </c>
      <c r="BR601" s="10">
        <f>BP601*1.3</f>
        <v>193.70000000000002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VLOOKUP(BV601,$A$681:$F$2272,6,FALSE)</f>
        <v>383</v>
      </c>
      <c r="BZ601" s="203" t="s">
        <v>65</v>
      </c>
      <c r="CA601" s="10">
        <f>BY601*1.3</f>
        <v>497.90000000000003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VLOOKUP(CE601,$A$681:$F$2272,6,FALSE)</f>
        <v>461</v>
      </c>
      <c r="CI601" s="203" t="s">
        <v>65</v>
      </c>
      <c r="CJ601" s="10">
        <f>CH601*1.3</f>
        <v>599.30000000000007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VLOOKUP(CN601,$A$681:$F$2272,6,FALSE)</f>
        <v>383</v>
      </c>
      <c r="CR601" s="203" t="s">
        <v>65</v>
      </c>
      <c r="CS601" s="10">
        <f>CQ601*1.3</f>
        <v>497.90000000000003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VLOOKUP(CW601,$A$681:$F$2272,6,FALSE)</f>
        <v>149</v>
      </c>
      <c r="DA601" s="203" t="s">
        <v>65</v>
      </c>
      <c r="DB601" s="10">
        <f>CZ601*1.3</f>
        <v>193.70000000000002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VLOOKUP(DF601,$A$681:$F$2272,6,FALSE)</f>
        <v>149</v>
      </c>
      <c r="DJ601" s="203" t="s">
        <v>65</v>
      </c>
      <c r="DK601" s="10">
        <f>DI601*1.3</f>
        <v>193.70000000000002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VLOOKUP(DO601,$A$681:$F$2272,6,FALSE)</f>
        <v>383</v>
      </c>
      <c r="DS601" s="203" t="s">
        <v>65</v>
      </c>
      <c r="DT601" s="10">
        <f>DR601*1.3</f>
        <v>497.90000000000003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VLOOKUP(DX601,$A$681:$F$2272,6,FALSE)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VLOOKUP(EG601,$A$681:$F$2272,6,FALSE)</f>
        <v>461</v>
      </c>
      <c r="EK601" s="203" t="s">
        <v>65</v>
      </c>
      <c r="EL601" s="10">
        <f>EJ601*1.3</f>
        <v>599.30000000000007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VLOOKUP(EP601,$A$681:$F$2272,6,FALSE)</f>
        <v>383</v>
      </c>
      <c r="ET601" s="203" t="s">
        <v>65</v>
      </c>
      <c r="EU601" s="10">
        <f>ES601*1.3</f>
        <v>497.90000000000003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VLOOKUP(EY601,$A$681:$F$2272,6,FALSE)</f>
        <v>461</v>
      </c>
      <c r="FC601" s="203" t="s">
        <v>65</v>
      </c>
      <c r="FD601" s="10">
        <f>FB601*1.3</f>
        <v>599.30000000000007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VLOOKUP(FH601,$A$681:$F$2272,6,FALSE)</f>
        <v>461</v>
      </c>
      <c r="FL601" s="203" t="s">
        <v>65</v>
      </c>
      <c r="FM601" s="10">
        <f>FK601*1.3</f>
        <v>599.30000000000007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VLOOKUP(FQ601,$A$681:$F$2272,6,FALSE)</f>
        <v>461</v>
      </c>
      <c r="FU601" s="203" t="s">
        <v>65</v>
      </c>
      <c r="FV601" s="10">
        <f>FT601*1.3</f>
        <v>599.30000000000007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VLOOKUP(FZ601,$A$681:$F$2272,6,FALSE)</f>
        <v>383</v>
      </c>
      <c r="GD601" s="203" t="s">
        <v>65</v>
      </c>
      <c r="GE601" s="10">
        <f>GC601*1.3</f>
        <v>497.90000000000003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VLOOKUP(GI601,$A$681:$F$2272,6,FALSE)</f>
        <v>461</v>
      </c>
      <c r="GM601" s="203" t="s">
        <v>65</v>
      </c>
      <c r="GN601" s="10">
        <f>GL601*1.3</f>
        <v>599.30000000000007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VLOOKUP(GR601,$A$681:$F$2272,6,FALSE)</f>
        <v>622</v>
      </c>
      <c r="GV601" s="203" t="s">
        <v>65</v>
      </c>
      <c r="GW601" s="10">
        <f>GU601*1.3</f>
        <v>808.6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VLOOKUP(HA601,$A$681:$F$2272,6,FALSE)</f>
        <v>149</v>
      </c>
      <c r="HE601" s="203" t="s">
        <v>65</v>
      </c>
      <c r="HF601" s="10">
        <f>HD601*1.3</f>
        <v>193.70000000000002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VLOOKUP(HJ601,$A$681:$F$2272,6,FALSE)</f>
        <v>383</v>
      </c>
      <c r="HN601" s="203" t="s">
        <v>65</v>
      </c>
      <c r="HO601" s="10">
        <f>HM601*1.3</f>
        <v>497.90000000000003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VLOOKUP(HS601,$A$681:$F$2272,6,FALSE)</f>
        <v>149</v>
      </c>
      <c r="HW601" s="203" t="s">
        <v>65</v>
      </c>
      <c r="HX601" s="10">
        <f>HV601*1.3</f>
        <v>193.70000000000002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VLOOKUP(IB601,$A$681:$F$2272,6,FALSE)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VLOOKUP(IK601,$A$681:$F$2272,6,FALSE)</f>
        <v>622</v>
      </c>
      <c r="IO601" s="203" t="s">
        <v>65</v>
      </c>
      <c r="IP601" s="10">
        <f>IN601*1.3</f>
        <v>808.6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VLOOKUP(IT601,$A$681:$F$2272,6,FALSE)</f>
        <v>622</v>
      </c>
      <c r="IX601" s="203" t="s">
        <v>65</v>
      </c>
      <c r="IY601" s="10">
        <f>IW601*1.3</f>
        <v>808.6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VLOOKUP(JC601,$A$681:$F$2272,6,FALSE)</f>
        <v>383</v>
      </c>
      <c r="JG601" s="203" t="s">
        <v>65</v>
      </c>
      <c r="JH601" s="10">
        <f>JF601*1.3</f>
        <v>497.90000000000003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VLOOKUP(JL601,$A$681:$F$2272,6,FALSE)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VLOOKUP(JU601,$A$681:$F$2272,6,FALSE)</f>
        <v>622</v>
      </c>
      <c r="JY601" s="203" t="s">
        <v>65</v>
      </c>
      <c r="JZ601" s="10">
        <f>JX601*1.3</f>
        <v>808.6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VLOOKUP(KD601,$A$681:$F$2272,6,FALSE)</f>
        <v>461</v>
      </c>
      <c r="KH601" s="203" t="s">
        <v>65</v>
      </c>
      <c r="KI601" s="10">
        <f>KG601*1.3</f>
        <v>599.30000000000007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VLOOKUP(KM601,$A$681:$F$2272,6,FALSE)</f>
        <v>461</v>
      </c>
      <c r="KQ601" s="203" t="s">
        <v>65</v>
      </c>
      <c r="KR601" s="10">
        <f>KP601*1.3</f>
        <v>599.30000000000007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VLOOKUP(KV601,$A$681:$F$2272,6,FALSE)</f>
        <v>383</v>
      </c>
      <c r="KZ601" s="203" t="s">
        <v>65</v>
      </c>
      <c r="LA601" s="10">
        <f>KY601*1.3</f>
        <v>497.90000000000003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VLOOKUP(LE601,$A$681:$F$2272,6,FALSE)</f>
        <v>383</v>
      </c>
      <c r="LI601" s="203" t="s">
        <v>65</v>
      </c>
      <c r="LJ601" s="10">
        <f>LH601*1.3</f>
        <v>497.90000000000003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VLOOKUP(LN601,$A$681:$F$2272,6,FALSE)</f>
        <v>383</v>
      </c>
      <c r="LR601" s="203" t="s">
        <v>65</v>
      </c>
      <c r="LS601" s="10">
        <f>LQ601*1.3</f>
        <v>497.90000000000003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VLOOKUP(LW601,$A$681:$F$2272,6,FALSE)</f>
        <v>15</v>
      </c>
      <c r="MA601" s="203" t="s">
        <v>65</v>
      </c>
      <c r="MB601" s="10">
        <f>LZ601*1.3</f>
        <v>19.5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VLOOKUP(MF601,$A$681:$F$2272,6,FALSE)</f>
        <v>461</v>
      </c>
      <c r="MJ601" s="203" t="s">
        <v>65</v>
      </c>
      <c r="MK601" s="10">
        <f>MI601*1.3</f>
        <v>599.30000000000007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VLOOKUP(MO601,$A$681:$F$2272,6,FALSE)</f>
        <v>461</v>
      </c>
      <c r="MS601" s="203" t="s">
        <v>65</v>
      </c>
      <c r="MT601" s="10">
        <f>MR601*1.3</f>
        <v>599.30000000000007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VLOOKUP(MX601,$A$681:$F$2272,6,FALSE)</f>
        <v>461</v>
      </c>
      <c r="NB601" s="203" t="s">
        <v>65</v>
      </c>
      <c r="NC601" s="10">
        <f>NA601*1.3</f>
        <v>599.30000000000007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VLOOKUP(NG601,$A$681:$F$2272,6,FALSE)</f>
        <v>15</v>
      </c>
      <c r="NK601" s="203" t="s">
        <v>65</v>
      </c>
      <c r="NL601" s="10">
        <f>NJ601*1.3</f>
        <v>19.5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VLOOKUP(NP601,$A$681:$F$2272,6,FALSE)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VLOOKUP(NY601,$A$681:$F$2272,6,FALSE)</f>
        <v>15</v>
      </c>
      <c r="OC601" s="203" t="s">
        <v>65</v>
      </c>
      <c r="OD601" s="10">
        <f>OB601*1.3</f>
        <v>19.5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VLOOKUP(OH601,$A$681:$F$2272,6,FALSE)</f>
        <v>461</v>
      </c>
      <c r="OL601" s="203" t="s">
        <v>65</v>
      </c>
      <c r="OM601" s="10">
        <f>OK601*1.3</f>
        <v>599.30000000000007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VLOOKUP(OQ601,$A$681:$F$2272,6,FALSE)</f>
        <v>149</v>
      </c>
      <c r="OU601" s="203" t="s">
        <v>65</v>
      </c>
      <c r="OV601" s="10">
        <f>OT601*1.3</f>
        <v>193.70000000000002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VLOOKUP(OZ601,$A$681:$F$2272,6,FALSE)</f>
        <v>461</v>
      </c>
      <c r="PD601" s="203" t="s">
        <v>65</v>
      </c>
      <c r="PE601" s="10">
        <f>PC601*1.3</f>
        <v>599.30000000000007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VLOOKUP(PI601,$A$681:$F$2272,6,FALSE)</f>
        <v>342</v>
      </c>
      <c r="PM601" s="203" t="s">
        <v>65</v>
      </c>
      <c r="PN601" s="10">
        <f>PL601*1.3</f>
        <v>444.6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VLOOKUP(PR601,$A$681:$F$2272,6,FALSE)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VLOOKUP(QA601,$A$681:$F$2272,6,FALSE)</f>
        <v>149</v>
      </c>
      <c r="QE601" s="203" t="s">
        <v>65</v>
      </c>
      <c r="QF601" s="10">
        <f>QD601*1.3</f>
        <v>193.70000000000002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VLOOKUP(QJ601,$A$681:$F$2272,6,FALSE)</f>
        <v>383</v>
      </c>
      <c r="QN601" s="203" t="s">
        <v>65</v>
      </c>
      <c r="QO601" s="10">
        <f>QM601*1.3</f>
        <v>497.90000000000003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VLOOKUP(QS601,$A$681:$F$2272,6,FALSE)</f>
        <v>461</v>
      </c>
      <c r="QW601" s="203" t="s">
        <v>65</v>
      </c>
      <c r="QX601" s="10">
        <f>QV601*1.3</f>
        <v>599.30000000000007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VLOOKUP(RB601,$A$681:$F$2272,6,FALSE)</f>
        <v>622</v>
      </c>
      <c r="RF601" s="203" t="s">
        <v>65</v>
      </c>
      <c r="RG601" s="10">
        <f>RE601*1.3</f>
        <v>808.6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VLOOKUP(RK601,$A$681:$F$2272,6,FALSE)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VLOOKUP(RT601,$A$681:$F$2272,6,FALSE)</f>
        <v>383</v>
      </c>
      <c r="RX601" s="203" t="s">
        <v>65</v>
      </c>
      <c r="RY601" s="10">
        <f>RW601*1.3</f>
        <v>497.90000000000003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VLOOKUP(SC601,$A$681:$F$2272,6,FALSE)</f>
        <v>461</v>
      </c>
      <c r="SG601" s="203" t="s">
        <v>65</v>
      </c>
      <c r="SH601" s="10">
        <f>SF601*1.3</f>
        <v>599.30000000000007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VLOOKUP(SL601,$A$681:$F$2272,6,FALSE)</f>
        <v>149</v>
      </c>
      <c r="SP601" s="203" t="s">
        <v>65</v>
      </c>
      <c r="SQ601" s="10">
        <f>SO601*1.3</f>
        <v>193.70000000000002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VLOOKUP(SU601,$A$681:$F$2272,6,FALSE)</f>
        <v>149</v>
      </c>
      <c r="SY601" s="203" t="s">
        <v>65</v>
      </c>
      <c r="SZ601" s="10">
        <f>SX601*1.3</f>
        <v>193.70000000000002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VLOOKUP(TD601,$A$681:$F$2272,6,FALSE)</f>
        <v>461</v>
      </c>
      <c r="TH601" s="203" t="s">
        <v>65</v>
      </c>
      <c r="TI601" s="10">
        <f>TG601*1.3</f>
        <v>599.30000000000007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VLOOKUP(TM601,$A$681:$F$2272,6,FALSE)</f>
        <v>383</v>
      </c>
      <c r="TQ601" s="203" t="s">
        <v>65</v>
      </c>
      <c r="TR601" s="10">
        <f>TP601*1.3</f>
        <v>497.90000000000003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VLOOKUP(TV601,$A$681:$F$2272,6,FALSE)</f>
        <v>149</v>
      </c>
      <c r="TZ601" s="203" t="s">
        <v>65</v>
      </c>
      <c r="UA601" s="10">
        <f>TY601*1.3</f>
        <v>193.70000000000002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VLOOKUP(UE601,$A$681:$F$2272,6,FALSE)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VLOOKUP(UN601,$A$681:$F$2272,6,FALSE)</f>
        <v>383</v>
      </c>
      <c r="UR601" s="203" t="s">
        <v>65</v>
      </c>
      <c r="US601" s="10">
        <f>UQ601*1.3</f>
        <v>497.90000000000003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VLOOKUP(UW601,$A$681:$F$2272,6,FALSE)</f>
        <v>383</v>
      </c>
      <c r="VA601" s="203" t="s">
        <v>65</v>
      </c>
      <c r="VB601" s="10">
        <f>UZ601*1.3</f>
        <v>497.90000000000003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VLOOKUP(VF601,$A$681:$F$2272,6,FALSE)</f>
        <v>383</v>
      </c>
      <c r="VJ601" s="203" t="s">
        <v>65</v>
      </c>
      <c r="VK601" s="10">
        <f>VI601*1.3</f>
        <v>497.90000000000003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VLOOKUP(VO601,$A$681:$F$2272,6,FALSE)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VLOOKUP(VX601,$A$681:$F$2272,6,FALSE)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VLOOKUP(WG601,$A$681:$F$2272,6,FALSE)</f>
        <v>15</v>
      </c>
      <c r="WK601" s="203" t="s">
        <v>65</v>
      </c>
      <c r="WL601" s="10">
        <f>WJ601*1.3</f>
        <v>19.5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VLOOKUP(WP601,$A$681:$F$2272,6,FALSE)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VLOOKUP(WY601,$A$681:$F$2272,6,FALSE)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VLOOKUP(XH601,$A$681:$F$2272,6,FALSE)</f>
        <v>383</v>
      </c>
      <c r="XL601" s="203" t="s">
        <v>65</v>
      </c>
      <c r="XM601" s="10">
        <f>XK601*1.3</f>
        <v>497.90000000000003</v>
      </c>
      <c r="XO601" s="274"/>
      <c r="XP601" s="203" t="s">
        <v>64</v>
      </c>
      <c r="XQ601" s="277" t="s">
        <v>478</v>
      </c>
      <c r="XS601" s="204"/>
      <c r="XT601" s="204">
        <f>VLOOKUP(XQ601,$A$681:$F$2272,6,FALSE)</f>
        <v>383</v>
      </c>
      <c r="XU601" s="203" t="s">
        <v>65</v>
      </c>
      <c r="XV601" s="10">
        <f>XT601*1.3</f>
        <v>497.90000000000003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VLOOKUP(XZ601,$A$681:$F$2272,6,FALSE)</f>
        <v>461</v>
      </c>
      <c r="YD601" s="203" t="s">
        <v>65</v>
      </c>
      <c r="YE601" s="10">
        <f>YC601*1.3</f>
        <v>599.30000000000007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VLOOKUP(YI601,$A$681:$F$2272,6,FALSE)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VLOOKUP(YR601,$A$681:$F$2272,6,FALSE)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VLOOKUP(ZA601,$A$681:$F$2272,6,FALSE)</f>
        <v>149</v>
      </c>
      <c r="ZE601" s="203" t="s">
        <v>65</v>
      </c>
      <c r="ZF601" s="10">
        <f>ZD601*1.3</f>
        <v>193.70000000000002</v>
      </c>
      <c r="ZH601" s="274"/>
      <c r="ZI601" s="203" t="s">
        <v>64</v>
      </c>
      <c r="ZJ601" s="277" t="s">
        <v>478</v>
      </c>
      <c r="ZL601" s="204"/>
      <c r="ZM601" s="204">
        <f>VLOOKUP(ZJ601,$A$681:$F$2272,6,FALSE)</f>
        <v>383</v>
      </c>
      <c r="ZN601" s="203" t="s">
        <v>65</v>
      </c>
      <c r="ZO601" s="10">
        <f>ZM601*1.3</f>
        <v>497.90000000000003</v>
      </c>
      <c r="ZQ601" s="274"/>
      <c r="ZR601" s="203" t="s">
        <v>64</v>
      </c>
      <c r="ZS601" s="277" t="s">
        <v>478</v>
      </c>
      <c r="ZU601" s="204"/>
      <c r="ZV601" s="204">
        <f>VLOOKUP(ZS601,$A$681:$F$2272,6,FALSE)</f>
        <v>383</v>
      </c>
      <c r="ZW601" s="203" t="s">
        <v>65</v>
      </c>
      <c r="ZX601" s="10">
        <f>ZV601*1.3</f>
        <v>497.90000000000003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VLOOKUP(AAB601,$A$681:$F$2272,6,FALSE)</f>
        <v>622</v>
      </c>
      <c r="AAF601" s="203" t="s">
        <v>65</v>
      </c>
      <c r="AAG601" s="10">
        <f>AAE601*1.3</f>
        <v>808.6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VLOOKUP(AAK601,$A$681:$F$2272,6,FALSE)</f>
        <v>149</v>
      </c>
      <c r="AAO601" s="203" t="s">
        <v>65</v>
      </c>
      <c r="AAP601" s="10">
        <f>AAN601*1.3</f>
        <v>193.70000000000002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VLOOKUP(AAT601,$A$681:$F$2272,6,FALSE)</f>
        <v>461</v>
      </c>
      <c r="AAX601" s="203" t="s">
        <v>65</v>
      </c>
      <c r="AAY601" s="10">
        <f>AAW601*1.3</f>
        <v>599.30000000000007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VLOOKUP(ABC601,$A$681:$F$2272,6,FALSE)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VLOOKUP(ABL601,$A$681:$F$2272,6,FALSE)</f>
        <v>622</v>
      </c>
      <c r="ABP601" s="203" t="s">
        <v>65</v>
      </c>
      <c r="ABQ601" s="10">
        <f>ABO601*1.3</f>
        <v>808.6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VLOOKUP(ABU601,$A$681:$F$2272,6,FALSE)</f>
        <v>461</v>
      </c>
      <c r="ABY601" s="203" t="s">
        <v>65</v>
      </c>
      <c r="ABZ601" s="10">
        <f>ABX601*1.3</f>
        <v>599.30000000000007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VLOOKUP(ACD601,$A$681:$F$2272,6,FALSE)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VLOOKUP(ACM601,$A$681:$F$2272,6,FALSE)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VLOOKUP(ACV601,$A$681:$F$2272,6,FALSE)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VLOOKUP(ADE601,$A$681:$F$2272,6,FALSE)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VLOOKUP(ADN601,$A$681:$F$2272,6,FALSE)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VLOOKUP(ADW601,$A$681:$F$2272,6,FALSE)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VLOOKUP(AEF601,$A$681:$F$2272,6,FALSE)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VLOOKUP(AEO601,$A$681:$F$2272,6,FALSE)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VLOOKUP(AEX601,$A$681:$F$2272,6,FALSE)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VLOOKUP(AFG601,$A$681:$F$2272,6,FALSE)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VLOOKUP(AFP601,$A$681:$F$2272,6,FALSE)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VLOOKUP(AFY601,$A$681:$F$2272,6,FALSE)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VLOOKUP(AGH601,$A$681:$F$2272,6,FALSE)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VLOOKUP(AGQ601,$A$681:$F$2272,6,FALSE)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VLOOKUP(AGZ601,$A$681:$F$2272,6,FALSE)</f>
        <v>149</v>
      </c>
      <c r="AHD601" s="203" t="s">
        <v>65</v>
      </c>
      <c r="AHE601" s="10">
        <f>AHC601*1.3</f>
        <v>193.70000000000002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VLOOKUP(AHI601,$A$681:$F$2272,6,FALSE)</f>
        <v>137</v>
      </c>
      <c r="AHM601" s="203" t="s">
        <v>65</v>
      </c>
      <c r="AHN601" s="10">
        <f>AHL601*1.3</f>
        <v>178.1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VLOOKUP(AHR601,$A$681:$F$2272,6,FALSE)</f>
        <v>383</v>
      </c>
      <c r="AHV601" s="203" t="s">
        <v>65</v>
      </c>
      <c r="AHW601" s="10">
        <f>AHU601*1.3</f>
        <v>497.90000000000003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VLOOKUP(AIA601,$A$681:$F$2272,6,FALSE)</f>
        <v>383</v>
      </c>
      <c r="AIE601" s="203" t="s">
        <v>65</v>
      </c>
      <c r="AIF601" s="10">
        <f>AID601*1.3</f>
        <v>497.90000000000003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VLOOKUP(AIJ601,$A$681:$F$2272,6,FALSE)</f>
        <v>383</v>
      </c>
      <c r="AIN601" s="203" t="s">
        <v>65</v>
      </c>
      <c r="AIO601" s="10">
        <f>AIM601*1.3</f>
        <v>497.90000000000003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VLOOKUP(AIS601,$A$681:$F$2272,6,FALSE)</f>
        <v>383</v>
      </c>
      <c r="AIW601" s="203" t="s">
        <v>65</v>
      </c>
      <c r="AIX601" s="10">
        <f>AIV601*1.3</f>
        <v>497.90000000000003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VLOOKUP(AJB601,$A$681:$F$2272,6,FALSE)</f>
        <v>383</v>
      </c>
      <c r="AJF601" s="203" t="s">
        <v>65</v>
      </c>
      <c r="AJG601" s="10">
        <f>AJE601*1.3</f>
        <v>497.90000000000003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VLOOKUP(AJK601,$A$681:$F$2272,6,FALSE)</f>
        <v>461</v>
      </c>
      <c r="AJO601" s="203" t="s">
        <v>65</v>
      </c>
      <c r="AJP601" s="10">
        <f>AJN601*1.3</f>
        <v>599.30000000000007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VLOOKUP(AJT601,$A$681:$F$2272,6,FALSE)</f>
        <v>383</v>
      </c>
      <c r="AJX601" s="203" t="s">
        <v>65</v>
      </c>
      <c r="AJY601" s="10">
        <f>AJW601*1.3</f>
        <v>497.90000000000003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VLOOKUP(AKC601,$A$681:$F$2272,6,FALSE)</f>
        <v>622</v>
      </c>
      <c r="AKG601" s="203" t="s">
        <v>65</v>
      </c>
      <c r="AKH601" s="10">
        <f>AKF601*1.3</f>
        <v>808.6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VLOOKUP(AKL601,$A$681:$F$2272,6,FALSE)</f>
        <v>342</v>
      </c>
      <c r="AKP601" s="203" t="s">
        <v>65</v>
      </c>
      <c r="AKQ601" s="10">
        <f>AKO601*1.3</f>
        <v>444.6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VLOOKUP(AKU601,$A$681:$F$2272,6,FALSE)</f>
        <v>622</v>
      </c>
      <c r="AKY601" s="203" t="s">
        <v>65</v>
      </c>
      <c r="AKZ601" s="10">
        <f>AKX601*1.3</f>
        <v>808.6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VLOOKUP(ALD601,$A$681:$F$2272,6,FALSE)</f>
        <v>383</v>
      </c>
      <c r="ALH601" s="203" t="s">
        <v>65</v>
      </c>
      <c r="ALI601" s="10">
        <f>ALG601*1.3</f>
        <v>497.90000000000003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VLOOKUP(ALM601,$A$681:$F$2272,6,FALSE)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VLOOKUP(ALV601,$A$681:$F$2272,6,FALSE)</f>
        <v>149</v>
      </c>
      <c r="ALZ601" s="203" t="s">
        <v>65</v>
      </c>
      <c r="AMA601" s="10">
        <f>ALY601*1.3</f>
        <v>193.70000000000002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VLOOKUP(AME601,$A$681:$F$2272,6,FALSE)</f>
        <v>383</v>
      </c>
      <c r="AMI601" s="203" t="s">
        <v>65</v>
      </c>
      <c r="AMJ601" s="10">
        <f>AMH601*1.3</f>
        <v>497.90000000000003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VLOOKUP(AMN601,$A$681:$F$2272,6,FALSE)</f>
        <v>461</v>
      </c>
      <c r="AMR601" s="203" t="s">
        <v>65</v>
      </c>
      <c r="AMS601" s="10">
        <f>AMQ601*1.3</f>
        <v>599.30000000000007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VLOOKUP(AMW601,$A$681:$F$2272,6,FALSE)</f>
        <v>149</v>
      </c>
      <c r="ANA601" s="203" t="s">
        <v>65</v>
      </c>
      <c r="ANB601" s="10">
        <f>AMZ601*1.3</f>
        <v>193.70000000000002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VLOOKUP(ANF601,$A$681:$F$2272,6,FALSE)</f>
        <v>149</v>
      </c>
      <c r="ANJ601" s="203" t="s">
        <v>65</v>
      </c>
      <c r="ANK601" s="10">
        <f>ANI601*1.3</f>
        <v>193.70000000000002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VLOOKUP(ANO601,$A$681:$F$2272,6,FALSE)</f>
        <v>342</v>
      </c>
      <c r="ANS601" s="203" t="s">
        <v>65</v>
      </c>
      <c r="ANT601" s="10">
        <f>ANR601*1.3</f>
        <v>444.6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VLOOKUP(ANX601,$A$681:$F$2272,6,FALSE)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VLOOKUP(AOG601,$A$681:$F$2272,6,FALSE)</f>
        <v>383</v>
      </c>
      <c r="AOK601" s="203" t="s">
        <v>65</v>
      </c>
      <c r="AOL601" s="10">
        <f>AOJ601*1.3</f>
        <v>497.90000000000003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VLOOKUP(AOP601,$A$681:$F$2272,6,FALSE)</f>
        <v>461</v>
      </c>
      <c r="AOT601" s="203" t="s">
        <v>65</v>
      </c>
      <c r="AOU601" s="10">
        <f>AOS601*1.3</f>
        <v>599.30000000000007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VLOOKUP(AOY601,$A$681:$F$2272,6,FALSE)</f>
        <v>383</v>
      </c>
      <c r="APC601" s="203" t="s">
        <v>65</v>
      </c>
      <c r="APD601" s="10">
        <f>APB601*1.3</f>
        <v>497.90000000000003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VLOOKUP(APH601,$A$681:$F$2272,6,FALSE)</f>
        <v>149</v>
      </c>
      <c r="APL601" s="203" t="s">
        <v>65</v>
      </c>
      <c r="APM601" s="10">
        <f>APK601*1.3</f>
        <v>193.70000000000002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VLOOKUP(APQ601,$A$681:$F$2272,6,FALSE)</f>
        <v>149</v>
      </c>
      <c r="APU601" s="203" t="s">
        <v>65</v>
      </c>
      <c r="APV601" s="10">
        <f>APT601*1.3</f>
        <v>193.70000000000002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VLOOKUP(APZ601,$A$681:$F$2272,6,FALSE)</f>
        <v>622</v>
      </c>
      <c r="AQD601" s="203" t="s">
        <v>65</v>
      </c>
      <c r="AQE601" s="10">
        <f>AQC601*1.3</f>
        <v>808.6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VLOOKUP(B602,$A$681:$F$2272,6,FALSE)</f>
        <v>149</v>
      </c>
      <c r="F602" s="203" t="s">
        <v>67</v>
      </c>
      <c r="G602" s="10">
        <f>E602*1.2</f>
        <v>178.79999999999998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VLOOKUP(K602,$A$681:$F$2272,6,FALSE)</f>
        <v>149</v>
      </c>
      <c r="O602" s="203" t="s">
        <v>67</v>
      </c>
      <c r="P602" s="10">
        <f>N602*1.2</f>
        <v>178.79999999999998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VLOOKUP(T602,$A$681:$F$2272,6,FALSE)</f>
        <v>149</v>
      </c>
      <c r="X602" s="203" t="s">
        <v>67</v>
      </c>
      <c r="Y602" s="10">
        <f>W602*1.2</f>
        <v>178.79999999999998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VLOOKUP(AC602,$A$681:$F$2272,6,FALSE)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VLOOKUP(AL602,$A$681:$F$2272,6,FALSE)</f>
        <v>461</v>
      </c>
      <c r="AP602" s="203" t="s">
        <v>67</v>
      </c>
      <c r="AQ602" s="10">
        <f>AO602*1.2</f>
        <v>553.19999999999993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VLOOKUP(AU602,$A$681:$F$2272,6,FALSE)</f>
        <v>149</v>
      </c>
      <c r="AY602" s="203" t="s">
        <v>67</v>
      </c>
      <c r="AZ602" s="10">
        <f>AX602*1.2</f>
        <v>178.79999999999998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VLOOKUP(BD602,$A$681:$F$2272,6,FALSE)</f>
        <v>149</v>
      </c>
      <c r="BH602" s="203" t="s">
        <v>67</v>
      </c>
      <c r="BI602" s="10">
        <f>BG602*1.2</f>
        <v>178.79999999999998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VLOOKUP(BM602,$A$681:$F$2272,6,FALSE)</f>
        <v>383</v>
      </c>
      <c r="BQ602" s="203" t="s">
        <v>67</v>
      </c>
      <c r="BR602" s="10">
        <f>BP602*1.2</f>
        <v>459.59999999999997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VLOOKUP(BV602,$A$681:$F$2272,6,FALSE)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VLOOKUP(CE602,$A$681:$F$2272,6,FALSE)</f>
        <v>149</v>
      </c>
      <c r="CI602" s="203" t="s">
        <v>67</v>
      </c>
      <c r="CJ602" s="10">
        <f>CH602*1.2</f>
        <v>178.79999999999998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VLOOKUP(CN602,$A$681:$F$2272,6,FALSE)</f>
        <v>149</v>
      </c>
      <c r="CR602" s="203" t="s">
        <v>67</v>
      </c>
      <c r="CS602" s="10">
        <f>CQ602*1.2</f>
        <v>178.79999999999998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VLOOKUP(CW602,$A$681:$F$2272,6,FALSE)</f>
        <v>461</v>
      </c>
      <c r="DA602" s="203" t="s">
        <v>67</v>
      </c>
      <c r="DB602" s="10">
        <f>CZ602*1.2</f>
        <v>553.19999999999993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VLOOKUP(DF602,$A$681:$F$2272,6,FALSE)</f>
        <v>383</v>
      </c>
      <c r="DJ602" s="203" t="s">
        <v>67</v>
      </c>
      <c r="DK602" s="10">
        <f>DI602*1.2</f>
        <v>459.59999999999997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VLOOKUP(DO602,$A$681:$F$2272,6,FALSE)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VLOOKUP(DX602,$A$681:$F$2272,6,FALSE)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VLOOKUP(EG602,$A$681:$F$2272,6,FALSE)</f>
        <v>342</v>
      </c>
      <c r="EK602" s="203" t="s">
        <v>67</v>
      </c>
      <c r="EL602" s="10">
        <f>EJ602*1.2</f>
        <v>410.4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VLOOKUP(EP602,$A$681:$F$2272,6,FALSE)</f>
        <v>149</v>
      </c>
      <c r="ET602" s="203" t="s">
        <v>67</v>
      </c>
      <c r="EU602" s="10">
        <f>ES602*1.2</f>
        <v>178.79999999999998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VLOOKUP(EY602,$A$681:$F$2272,6,FALSE)</f>
        <v>149</v>
      </c>
      <c r="FC602" s="203" t="s">
        <v>67</v>
      </c>
      <c r="FD602" s="10">
        <f>FB602*1.2</f>
        <v>178.79999999999998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VLOOKUP(FH602,$A$681:$F$2272,6,FALSE)</f>
        <v>149</v>
      </c>
      <c r="FL602" s="203" t="s">
        <v>67</v>
      </c>
      <c r="FM602" s="10">
        <f>FK602*1.2</f>
        <v>178.79999999999998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VLOOKUP(FQ602,$A$681:$F$2272,6,FALSE)</f>
        <v>149</v>
      </c>
      <c r="FU602" s="203" t="s">
        <v>67</v>
      </c>
      <c r="FV602" s="10">
        <f>FT602*1.2</f>
        <v>178.79999999999998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VLOOKUP(FZ602,$A$681:$F$2272,6,FALSE)</f>
        <v>149</v>
      </c>
      <c r="GD602" s="203" t="s">
        <v>67</v>
      </c>
      <c r="GE602" s="10">
        <f>GC602*1.2</f>
        <v>178.79999999999998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VLOOKUP(GI602,$A$681:$F$2272,6,FALSE)</f>
        <v>149</v>
      </c>
      <c r="GM602" s="203" t="s">
        <v>67</v>
      </c>
      <c r="GN602" s="10">
        <f>GL602*1.2</f>
        <v>178.79999999999998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VLOOKUP(GR602,$A$681:$F$2272,6,FALSE)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VLOOKUP(HA602,$A$681:$F$2272,6,FALSE)</f>
        <v>383</v>
      </c>
      <c r="HE602" s="203" t="s">
        <v>67</v>
      </c>
      <c r="HF602" s="10">
        <f>HD602*1.2</f>
        <v>459.59999999999997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VLOOKUP(HJ602,$A$681:$F$2272,6,FALSE)</f>
        <v>149</v>
      </c>
      <c r="HN602" s="203" t="s">
        <v>67</v>
      </c>
      <c r="HO602" s="10">
        <f>HM602*1.2</f>
        <v>178.79999999999998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VLOOKUP(HS602,$A$681:$F$2272,6,FALSE)</f>
        <v>461</v>
      </c>
      <c r="HW602" s="203" t="s">
        <v>67</v>
      </c>
      <c r="HX602" s="10">
        <f>HV602*1.2</f>
        <v>553.19999999999993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VLOOKUP(IB602,$A$681:$F$2272,6,FALSE)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VLOOKUP(IK602,$A$681:$F$2272,6,FALSE)</f>
        <v>149</v>
      </c>
      <c r="IO602" s="203" t="s">
        <v>67</v>
      </c>
      <c r="IP602" s="10">
        <f>IN602*1.2</f>
        <v>178.79999999999998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VLOOKUP(IT602,$A$681:$F$2272,6,FALSE)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VLOOKUP(JC602,$A$681:$F$2272,6,FALSE)</f>
        <v>149</v>
      </c>
      <c r="JG602" s="203" t="s">
        <v>67</v>
      </c>
      <c r="JH602" s="10">
        <f>JF602*1.2</f>
        <v>178.79999999999998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VLOOKUP(JL602,$A$681:$F$2272,6,FALSE)</f>
        <v>383</v>
      </c>
      <c r="JP602" s="203" t="s">
        <v>67</v>
      </c>
      <c r="JQ602" s="10">
        <f>JO602*1.2</f>
        <v>459.59999999999997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VLOOKUP(JU602,$A$681:$F$2272,6,FALSE)</f>
        <v>461</v>
      </c>
      <c r="JY602" s="203" t="s">
        <v>67</v>
      </c>
      <c r="JZ602" s="10">
        <f>JX602*1.2</f>
        <v>553.19999999999993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VLOOKUP(KD602,$A$681:$F$2272,6,FALSE)</f>
        <v>149</v>
      </c>
      <c r="KH602" s="203" t="s">
        <v>67</v>
      </c>
      <c r="KI602" s="10">
        <f>KG602*1.2</f>
        <v>178.79999999999998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VLOOKUP(KM602,$A$681:$F$2272,6,FALSE)</f>
        <v>149</v>
      </c>
      <c r="KQ602" s="203" t="s">
        <v>67</v>
      </c>
      <c r="KR602" s="10">
        <f>KP602*1.2</f>
        <v>178.79999999999998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VLOOKUP(KV602,$A$681:$F$2272,6,FALSE)</f>
        <v>342</v>
      </c>
      <c r="KZ602" s="203" t="s">
        <v>67</v>
      </c>
      <c r="LA602" s="10">
        <f>KY602*1.2</f>
        <v>410.4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VLOOKUP(LE602,$A$681:$F$2272,6,FALSE)</f>
        <v>342</v>
      </c>
      <c r="LI602" s="203" t="s">
        <v>67</v>
      </c>
      <c r="LJ602" s="10">
        <f>LH602*1.2</f>
        <v>410.4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VLOOKUP(LN602,$A$681:$F$2272,6,FALSE)</f>
        <v>149</v>
      </c>
      <c r="LR602" s="203" t="s">
        <v>67</v>
      </c>
      <c r="LS602" s="10">
        <f>LQ602*1.2</f>
        <v>178.79999999999998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VLOOKUP(LW602,$A$681:$F$2272,6,FALSE)</f>
        <v>461</v>
      </c>
      <c r="MA602" s="203" t="s">
        <v>67</v>
      </c>
      <c r="MB602" s="10">
        <f>LZ602*1.2</f>
        <v>553.19999999999993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VLOOKUP(MF602,$A$681:$F$2272,6,FALSE)</f>
        <v>342</v>
      </c>
      <c r="MJ602" s="203" t="s">
        <v>67</v>
      </c>
      <c r="MK602" s="10">
        <f>MI602*1.2</f>
        <v>410.4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VLOOKUP(MO602,$A$681:$F$2272,6,FALSE)</f>
        <v>15</v>
      </c>
      <c r="MS602" s="203" t="s">
        <v>67</v>
      </c>
      <c r="MT602" s="10">
        <f>MR602*1.2</f>
        <v>18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VLOOKUP(MX602,$A$681:$F$2272,6,FALSE)</f>
        <v>149</v>
      </c>
      <c r="NB602" s="203" t="s">
        <v>67</v>
      </c>
      <c r="NC602" s="10">
        <f>NA602*1.2</f>
        <v>178.79999999999998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VLOOKUP(NG602,$A$681:$F$2272,6,FALSE)</f>
        <v>383</v>
      </c>
      <c r="NK602" s="203" t="s">
        <v>67</v>
      </c>
      <c r="NL602" s="10">
        <f>NJ602*1.2</f>
        <v>459.59999999999997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VLOOKUP(NP602,$A$681:$F$2272,6,FALSE)</f>
        <v>622</v>
      </c>
      <c r="NT602" s="203" t="s">
        <v>67</v>
      </c>
      <c r="NU602" s="10">
        <f>NS602*1.2</f>
        <v>746.4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VLOOKUP(NY602,$A$681:$F$2272,6,FALSE)</f>
        <v>461</v>
      </c>
      <c r="OC602" s="203" t="s">
        <v>67</v>
      </c>
      <c r="OD602" s="10">
        <f>OB602*1.2</f>
        <v>553.19999999999993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VLOOKUP(OH602,$A$681:$F$2272,6,FALSE)</f>
        <v>149</v>
      </c>
      <c r="OL602" s="203" t="s">
        <v>67</v>
      </c>
      <c r="OM602" s="10">
        <f>OK602*1.2</f>
        <v>178.79999999999998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VLOOKUP(OQ602,$A$681:$F$2272,6,FALSE)</f>
        <v>461</v>
      </c>
      <c r="OU602" s="203" t="s">
        <v>67</v>
      </c>
      <c r="OV602" s="10">
        <f>OT602*1.2</f>
        <v>553.19999999999993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VLOOKUP(OZ602,$A$681:$F$2272,6,FALSE)</f>
        <v>149</v>
      </c>
      <c r="PD602" s="203" t="s">
        <v>67</v>
      </c>
      <c r="PE602" s="10">
        <f>PC602*1.2</f>
        <v>178.79999999999998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VLOOKUP(PI602,$A$681:$F$2272,6,FALSE)</f>
        <v>383</v>
      </c>
      <c r="PM602" s="203" t="s">
        <v>67</v>
      </c>
      <c r="PN602" s="10">
        <f>PL602*1.2</f>
        <v>459.59999999999997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VLOOKUP(PR602,$A$681:$F$2272,6,FALSE)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VLOOKUP(QA602,$A$681:$F$2272,6,FALSE)</f>
        <v>461</v>
      </c>
      <c r="QE602" s="203" t="s">
        <v>67</v>
      </c>
      <c r="QF602" s="10">
        <f>QD602*1.2</f>
        <v>553.19999999999993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VLOOKUP(QJ602,$A$681:$F$2272,6,FALSE)</f>
        <v>149</v>
      </c>
      <c r="QN602" s="203" t="s">
        <v>67</v>
      </c>
      <c r="QO602" s="10">
        <f>QM602*1.2</f>
        <v>178.79999999999998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VLOOKUP(QS602,$A$681:$F$2272,6,FALSE)</f>
        <v>149</v>
      </c>
      <c r="QW602" s="203" t="s">
        <v>67</v>
      </c>
      <c r="QX602" s="10">
        <f>QV602*1.2</f>
        <v>178.79999999999998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VLOOKUP(RB602,$A$681:$F$2272,6,FALSE)</f>
        <v>383</v>
      </c>
      <c r="RF602" s="203" t="s">
        <v>67</v>
      </c>
      <c r="RG602" s="10">
        <f>RE602*1.2</f>
        <v>459.59999999999997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VLOOKUP(RK602,$A$681:$F$2272,6,FALSE)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VLOOKUP(RT602,$A$681:$F$2272,6,FALSE)</f>
        <v>149</v>
      </c>
      <c r="RX602" s="203" t="s">
        <v>67</v>
      </c>
      <c r="RY602" s="10">
        <f>RW602*1.2</f>
        <v>178.79999999999998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VLOOKUP(SC602,$A$681:$F$2272,6,FALSE)</f>
        <v>15</v>
      </c>
      <c r="SG602" s="203" t="s">
        <v>67</v>
      </c>
      <c r="SH602" s="10">
        <f>SF602*1.2</f>
        <v>18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VLOOKUP(SL602,$A$681:$F$2272,6,FALSE)</f>
        <v>383</v>
      </c>
      <c r="SP602" s="203" t="s">
        <v>67</v>
      </c>
      <c r="SQ602" s="10">
        <f>SO602*1.2</f>
        <v>459.59999999999997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VLOOKUP(SU602,$A$681:$F$2272,6,FALSE)</f>
        <v>383</v>
      </c>
      <c r="SY602" s="203" t="s">
        <v>67</v>
      </c>
      <c r="SZ602" s="10">
        <f>SX602*1.2</f>
        <v>459.59999999999997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VLOOKUP(TD602,$A$681:$F$2272,6,FALSE)</f>
        <v>149</v>
      </c>
      <c r="TH602" s="203" t="s">
        <v>67</v>
      </c>
      <c r="TI602" s="10">
        <f>TG602*1.2</f>
        <v>178.79999999999998</v>
      </c>
      <c r="TK602" s="274"/>
      <c r="TL602" s="203" t="s">
        <v>66</v>
      </c>
      <c r="TM602" s="277" t="s">
        <v>438</v>
      </c>
      <c r="TO602" s="204"/>
      <c r="TP602" s="204">
        <f>VLOOKUP(TM602,$A$681:$F$2272,6,FALSE)</f>
        <v>15</v>
      </c>
      <c r="TQ602" s="203" t="s">
        <v>67</v>
      </c>
      <c r="TR602" s="10">
        <f>TP602*1.2</f>
        <v>18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VLOOKUP(TV602,$A$681:$F$2272,6,FALSE)</f>
        <v>461</v>
      </c>
      <c r="TZ602" s="203" t="s">
        <v>67</v>
      </c>
      <c r="UA602" s="10">
        <f>TY602*1.2</f>
        <v>553.19999999999993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VLOOKUP(UE602,$A$681:$F$2272,6,FALSE)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VLOOKUP(UN602,$A$681:$F$2272,6,FALSE)</f>
        <v>461</v>
      </c>
      <c r="UR602" s="203" t="s">
        <v>67</v>
      </c>
      <c r="US602" s="10">
        <f>UQ602*1.2</f>
        <v>553.19999999999993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VLOOKUP(UW602,$A$681:$F$2272,6,FALSE)</f>
        <v>15</v>
      </c>
      <c r="VA602" s="203" t="s">
        <v>67</v>
      </c>
      <c r="VB602" s="10">
        <f>UZ602*1.2</f>
        <v>18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VLOOKUP(VF602,$A$681:$F$2272,6,FALSE)</f>
        <v>149</v>
      </c>
      <c r="VJ602" s="203" t="s">
        <v>67</v>
      </c>
      <c r="VK602" s="10">
        <f>VI602*1.2</f>
        <v>178.79999999999998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VLOOKUP(VO602,$A$681:$F$2272,6,FALSE)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VLOOKUP(VX602,$A$681:$F$2272,6,FALSE)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VLOOKUP(WG602,$A$681:$F$2272,6,FALSE)</f>
        <v>383</v>
      </c>
      <c r="WK602" s="203" t="s">
        <v>67</v>
      </c>
      <c r="WL602" s="10">
        <f>WJ602*1.2</f>
        <v>459.59999999999997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VLOOKUP(WP602,$A$681:$F$2272,6,FALSE)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VLOOKUP(WY602,$A$681:$F$2272,6,FALSE)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VLOOKUP(XH602,$A$681:$F$2272,6,FALSE)</f>
        <v>15</v>
      </c>
      <c r="XL602" s="203" t="s">
        <v>67</v>
      </c>
      <c r="XM602" s="10">
        <f>XK602*1.2</f>
        <v>18</v>
      </c>
      <c r="XO602" s="274"/>
      <c r="XP602" s="203" t="s">
        <v>66</v>
      </c>
      <c r="XQ602" s="277" t="s">
        <v>830</v>
      </c>
      <c r="XS602" s="204"/>
      <c r="XT602" s="204">
        <f>VLOOKUP(XQ602,$A$681:$F$2272,6,FALSE)</f>
        <v>461</v>
      </c>
      <c r="XU602" s="203" t="s">
        <v>67</v>
      </c>
      <c r="XV602" s="10">
        <f>XT602*1.2</f>
        <v>553.19999999999993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VLOOKUP(XZ602,$A$681:$F$2272,6,FALSE)</f>
        <v>342</v>
      </c>
      <c r="YD602" s="203" t="s">
        <v>67</v>
      </c>
      <c r="YE602" s="10">
        <f>YC602*1.2</f>
        <v>410.4</v>
      </c>
      <c r="YG602" s="274"/>
      <c r="YH602" s="203" t="s">
        <v>66</v>
      </c>
      <c r="YI602" s="279" t="s">
        <v>183</v>
      </c>
      <c r="YK602" s="204"/>
      <c r="YL602" s="204" t="e">
        <f>VLOOKUP(YI602,$A$681:$F$2272,6,FALSE)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VLOOKUP(YR602,$A$681:$F$2272,6,FALSE)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VLOOKUP(ZA602,$A$681:$F$2272,6,FALSE)</f>
        <v>383</v>
      </c>
      <c r="ZE602" s="203" t="s">
        <v>67</v>
      </c>
      <c r="ZF602" s="10">
        <f>ZD602*1.2</f>
        <v>459.59999999999997</v>
      </c>
      <c r="ZH602" s="274"/>
      <c r="ZI602" s="203" t="s">
        <v>66</v>
      </c>
      <c r="ZJ602" s="277" t="s">
        <v>957</v>
      </c>
      <c r="ZL602" s="204"/>
      <c r="ZM602" s="204">
        <f>VLOOKUP(ZJ602,$A$681:$F$2272,6,FALSE)</f>
        <v>149</v>
      </c>
      <c r="ZN602" s="203" t="s">
        <v>67</v>
      </c>
      <c r="ZO602" s="10">
        <f>ZM602*1.2</f>
        <v>178.79999999999998</v>
      </c>
      <c r="ZQ602" s="274"/>
      <c r="ZR602" s="203" t="s">
        <v>66</v>
      </c>
      <c r="ZS602" s="277" t="s">
        <v>641</v>
      </c>
      <c r="ZU602" s="204"/>
      <c r="ZV602" s="204">
        <f>VLOOKUP(ZS602,$A$681:$F$2272,6,FALSE)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VLOOKUP(AAB602,$A$681:$F$2272,6,FALSE)</f>
        <v>383</v>
      </c>
      <c r="AAF602" s="203" t="s">
        <v>67</v>
      </c>
      <c r="AAG602" s="10">
        <f>AAE602*1.2</f>
        <v>459.59999999999997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VLOOKUP(AAK602,$A$681:$F$2272,6,FALSE)</f>
        <v>383</v>
      </c>
      <c r="AAO602" s="203" t="s">
        <v>67</v>
      </c>
      <c r="AAP602" s="10">
        <f>AAN602*1.2</f>
        <v>459.59999999999997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VLOOKUP(AAT602,$A$681:$F$2272,6,FALSE)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VLOOKUP(ABC602,$A$681:$F$2272,6,FALSE)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VLOOKUP(ABL602,$A$681:$F$2272,6,FALSE)</f>
        <v>383</v>
      </c>
      <c r="ABP602" s="203" t="s">
        <v>67</v>
      </c>
      <c r="ABQ602" s="10">
        <f>ABO602*1.2</f>
        <v>459.59999999999997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VLOOKUP(ABU602,$A$681:$F$2272,6,FALSE)</f>
        <v>149</v>
      </c>
      <c r="ABY602" s="203" t="s">
        <v>67</v>
      </c>
      <c r="ABZ602" s="10">
        <f>ABX602*1.2</f>
        <v>178.79999999999998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VLOOKUP(ACD602,$A$681:$F$2272,6,FALSE)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VLOOKUP(ACM602,$A$681:$F$2272,6,FALSE)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VLOOKUP(ACV602,$A$681:$F$2272,6,FALSE)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VLOOKUP(ADE602,$A$681:$F$2272,6,FALSE)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VLOOKUP(ADN602,$A$681:$F$2272,6,FALSE)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VLOOKUP(ADW602,$A$681:$F$2272,6,FALSE)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VLOOKUP(AEF602,$A$681:$F$2272,6,FALSE)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VLOOKUP(AEO602,$A$681:$F$2272,6,FALSE)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VLOOKUP(AEX602,$A$681:$F$2272,6,FALSE)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VLOOKUP(AFG602,$A$681:$F$2272,6,FALSE)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VLOOKUP(AFP602,$A$681:$F$2272,6,FALSE)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VLOOKUP(AFY602,$A$681:$F$2272,6,FALSE)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VLOOKUP(AGH602,$A$681:$F$2272,6,FALSE)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VLOOKUP(AGQ602,$A$681:$F$2272,6,FALSE)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VLOOKUP(AGZ602,$A$681:$F$2272,6,FALSE)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VLOOKUP(AHI602,$A$681:$F$2272,6,FALSE)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VLOOKUP(AHR602,$A$681:$F$2272,6,FALSE)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VLOOKUP(AIA602,$A$681:$F$2272,6,FALSE)</f>
        <v>149</v>
      </c>
      <c r="AIE602" s="203" t="s">
        <v>67</v>
      </c>
      <c r="AIF602" s="10">
        <f>AID602*1.2</f>
        <v>178.79999999999998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VLOOKUP(AIJ602,$A$681:$F$2272,6,FALSE)</f>
        <v>15</v>
      </c>
      <c r="AIN602" s="203" t="s">
        <v>67</v>
      </c>
      <c r="AIO602" s="10">
        <f>AIM602*1.2</f>
        <v>18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VLOOKUP(AIS602,$A$681:$F$2272,6,FALSE)</f>
        <v>622</v>
      </c>
      <c r="AIW602" s="203" t="s">
        <v>67</v>
      </c>
      <c r="AIX602" s="10">
        <f>AIV602*1.2</f>
        <v>746.4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VLOOKUP(AJB602,$A$681:$F$2272,6,FALSE)</f>
        <v>149</v>
      </c>
      <c r="AJF602" s="203" t="s">
        <v>67</v>
      </c>
      <c r="AJG602" s="10">
        <f>AJE602*1.2</f>
        <v>178.79999999999998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VLOOKUP(AJK602,$A$681:$F$2272,6,FALSE)</f>
        <v>342</v>
      </c>
      <c r="AJO602" s="203" t="s">
        <v>67</v>
      </c>
      <c r="AJP602" s="10">
        <f>AJN602*1.2</f>
        <v>410.4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VLOOKUP(AJT602,$A$681:$F$2272,6,FALSE)</f>
        <v>149</v>
      </c>
      <c r="AJX602" s="203" t="s">
        <v>67</v>
      </c>
      <c r="AJY602" s="10">
        <f>AJW602*1.2</f>
        <v>178.79999999999998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VLOOKUP(AKC602,$A$681:$F$2272,6,FALSE)</f>
        <v>461</v>
      </c>
      <c r="AKG602" s="203" t="s">
        <v>67</v>
      </c>
      <c r="AKH602" s="10">
        <f>AKF602*1.2</f>
        <v>553.19999999999993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VLOOKUP(AKL602,$A$681:$F$2272,6,FALSE)</f>
        <v>461</v>
      </c>
      <c r="AKP602" s="203" t="s">
        <v>67</v>
      </c>
      <c r="AKQ602" s="10">
        <f>AKO602*1.2</f>
        <v>553.19999999999993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VLOOKUP(AKU602,$A$681:$F$2272,6,FALSE)</f>
        <v>15</v>
      </c>
      <c r="AKY602" s="203" t="s">
        <v>67</v>
      </c>
      <c r="AKZ602" s="10">
        <f>AKX602*1.2</f>
        <v>18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VLOOKUP(ALD602,$A$681:$F$2272,6,FALSE)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VLOOKUP(ALM602,$A$681:$F$2272,6,FALSE)</f>
        <v>383</v>
      </c>
      <c r="ALQ602" s="203" t="s">
        <v>67</v>
      </c>
      <c r="ALR602" s="10">
        <f>ALP602*1.2</f>
        <v>459.59999999999997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VLOOKUP(ALV602,$A$681:$F$2272,6,FALSE)</f>
        <v>622</v>
      </c>
      <c r="ALZ602" s="203" t="s">
        <v>67</v>
      </c>
      <c r="AMA602" s="10">
        <f>ALY602*1.2</f>
        <v>746.4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VLOOKUP(AME602,$A$681:$F$2272,6,FALSE)</f>
        <v>342</v>
      </c>
      <c r="AMI602" s="203" t="s">
        <v>67</v>
      </c>
      <c r="AMJ602" s="10">
        <f>AMH602*1.2</f>
        <v>410.4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VLOOKUP(AMN602,$A$681:$F$2272,6,FALSE)</f>
        <v>342</v>
      </c>
      <c r="AMR602" s="203" t="s">
        <v>67</v>
      </c>
      <c r="AMS602" s="10">
        <f>AMQ602*1.2</f>
        <v>410.4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VLOOKUP(AMW602,$A$681:$F$2272,6,FALSE)</f>
        <v>622</v>
      </c>
      <c r="ANA602" s="203" t="s">
        <v>67</v>
      </c>
      <c r="ANB602" s="10">
        <f>AMZ602*1.2</f>
        <v>746.4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VLOOKUP(ANF602,$A$681:$F$2272,6,FALSE)</f>
        <v>137</v>
      </c>
      <c r="ANJ602" s="203" t="s">
        <v>67</v>
      </c>
      <c r="ANK602" s="10">
        <f>ANI602*1.2</f>
        <v>164.4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VLOOKUP(ANO602,$A$681:$F$2272,6,FALSE)</f>
        <v>622</v>
      </c>
      <c r="ANS602" s="203" t="s">
        <v>67</v>
      </c>
      <c r="ANT602" s="10">
        <f>ANR602*1.2</f>
        <v>746.4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VLOOKUP(ANX602,$A$681:$F$2272,6,FALSE)</f>
        <v>149</v>
      </c>
      <c r="AOB602" s="203" t="s">
        <v>67</v>
      </c>
      <c r="AOC602" s="10">
        <f>AOA602*1.2</f>
        <v>178.79999999999998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VLOOKUP(AOG602,$A$681:$F$2272,6,FALSE)</f>
        <v>149</v>
      </c>
      <c r="AOK602" s="203" t="s">
        <v>67</v>
      </c>
      <c r="AOL602" s="10">
        <f>AOJ602*1.2</f>
        <v>178.79999999999998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VLOOKUP(AOP602,$A$681:$F$2272,6,FALSE)</f>
        <v>149</v>
      </c>
      <c r="AOT602" s="203" t="s">
        <v>67</v>
      </c>
      <c r="AOU602" s="10">
        <f>AOS602*1.2</f>
        <v>178.79999999999998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VLOOKUP(AOY602,$A$681:$F$2272,6,FALSE)</f>
        <v>149</v>
      </c>
      <c r="APC602" s="203" t="s">
        <v>67</v>
      </c>
      <c r="APD602" s="10">
        <f>APB602*1.2</f>
        <v>178.79999999999998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VLOOKUP(APH602,$A$681:$F$2272,6,FALSE)</f>
        <v>15</v>
      </c>
      <c r="APL602" s="203" t="s">
        <v>67</v>
      </c>
      <c r="APM602" s="10">
        <f>APK602*1.2</f>
        <v>18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VLOOKUP(APQ602,$A$681:$F$2272,6,FALSE)</f>
        <v>622</v>
      </c>
      <c r="APU602" s="203" t="s">
        <v>67</v>
      </c>
      <c r="APV602" s="10">
        <f>APT602*1.2</f>
        <v>746.4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VLOOKUP(APZ602,$A$681:$F$2272,6,FALSE)</f>
        <v>149</v>
      </c>
      <c r="AQD602" s="203" t="s">
        <v>67</v>
      </c>
      <c r="AQE602" s="10">
        <f>AQC602*1.2</f>
        <v>178.79999999999998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VLOOKUP(B603,$A$681:$F$2272,6,FALSE)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VLOOKUP(K603,$A$681:$F$2272,6,FALSE)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VLOOKUP(T603,$A$681:$F$2272,6,FALSE)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VLOOKUP(AC603,$A$681:$F$2272,6,FALSE)</f>
        <v>149</v>
      </c>
      <c r="AG603" s="203" t="s">
        <v>69</v>
      </c>
      <c r="AH603" s="10">
        <f>AF603*1.1</f>
        <v>163.9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VLOOKUP(AL603,$A$681:$F$2272,6,FALSE)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VLOOKUP(AU603,$A$681:$F$2272,6,FALSE)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VLOOKUP(BD603,$A$681:$F$2272,6,FALSE)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VLOOKUP(BM603,$A$681:$F$2272,6,FALSE)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VLOOKUP(BV603,$A$681:$F$2272,6,FALSE)</f>
        <v>15</v>
      </c>
      <c r="BZ603" s="203" t="s">
        <v>69</v>
      </c>
      <c r="CA603" s="10">
        <f>BY603*1.1</f>
        <v>16.5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VLOOKUP(CE603,$A$681:$F$2272,6,FALSE)</f>
        <v>342</v>
      </c>
      <c r="CI603" s="203" t="s">
        <v>69</v>
      </c>
      <c r="CJ603" s="10">
        <f>CH603*1.1</f>
        <v>376.20000000000005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VLOOKUP(CN603,$A$681:$F$2272,6,FALSE)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VLOOKUP(CW603,$A$681:$F$2272,6,FALSE)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VLOOKUP(DF603,$A$681:$F$2272,6,FALSE)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VLOOKUP(DO603,$A$681:$F$2272,6,FALSE)</f>
        <v>149</v>
      </c>
      <c r="DS603" s="203" t="s">
        <v>69</v>
      </c>
      <c r="DT603" s="10">
        <f>DR603*1.1</f>
        <v>163.9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VLOOKUP(DX603,$A$681:$F$2272,6,FALSE)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VLOOKUP(EG603,$A$681:$F$2272,6,FALSE)</f>
        <v>149</v>
      </c>
      <c r="EK603" s="203" t="s">
        <v>69</v>
      </c>
      <c r="EL603" s="10">
        <f>EJ603*1.1</f>
        <v>163.9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VLOOKUP(EP603,$A$681:$F$2272,6,FALSE)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VLOOKUP(EY603,$A$681:$F$2272,6,FALSE)</f>
        <v>15</v>
      </c>
      <c r="FC603" s="203" t="s">
        <v>69</v>
      </c>
      <c r="FD603" s="10">
        <f>FB603*1.1</f>
        <v>16.5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VLOOKUP(FH603,$A$681:$F$2272,6,FALSE)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VLOOKUP(FQ603,$A$681:$F$2272,6,FALSE)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VLOOKUP(FZ603,$A$681:$F$2272,6,FALSE)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VLOOKUP(GI603,$A$681:$F$2272,6,FALSE)</f>
        <v>342</v>
      </c>
      <c r="GM603" s="203" t="s">
        <v>69</v>
      </c>
      <c r="GN603" s="10">
        <f>GL603*1.1</f>
        <v>376.20000000000005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VLOOKUP(GR603,$A$681:$F$2272,6,FALSE)</f>
        <v>149</v>
      </c>
      <c r="GV603" s="203" t="s">
        <v>69</v>
      </c>
      <c r="GW603" s="10">
        <f>GU603*1.1</f>
        <v>163.9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VLOOKUP(HA603,$A$681:$F$2272,6,FALSE)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VLOOKUP(HJ603,$A$681:$F$2272,6,FALSE)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VLOOKUP(HS603,$A$681:$F$2272,6,FALSE)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VLOOKUP(IB603,$A$681:$F$2272,6,FALSE)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VLOOKUP(IK603,$A$681:$F$2272,6,FALSE)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VLOOKUP(IT603,$A$681:$F$2272,6,FALSE)</f>
        <v>149</v>
      </c>
      <c r="IX603" s="203" t="s">
        <v>69</v>
      </c>
      <c r="IY603" s="10">
        <f>IW603*1.1</f>
        <v>163.9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VLOOKUP(JC603,$A$681:$F$2272,6,FALSE)</f>
        <v>342</v>
      </c>
      <c r="JG603" s="203" t="s">
        <v>69</v>
      </c>
      <c r="JH603" s="10">
        <f>JF603*1.1</f>
        <v>376.20000000000005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VLOOKUP(JL603,$A$681:$F$2272,6,FALSE)</f>
        <v>461</v>
      </c>
      <c r="JP603" s="203" t="s">
        <v>69</v>
      </c>
      <c r="JQ603" s="10">
        <f>JO603*1.1</f>
        <v>507.1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VLOOKUP(JU603,$A$681:$F$2272,6,FALSE)</f>
        <v>149</v>
      </c>
      <c r="JY603" s="203" t="s">
        <v>69</v>
      </c>
      <c r="JZ603" s="10">
        <f>JX603*1.1</f>
        <v>163.9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VLOOKUP(KD603,$A$681:$F$2272,6,FALSE)</f>
        <v>342</v>
      </c>
      <c r="KH603" s="203" t="s">
        <v>69</v>
      </c>
      <c r="KI603" s="10">
        <f>KG603*1.1</f>
        <v>376.20000000000005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VLOOKUP(KM603,$A$681:$F$2272,6,FALSE)</f>
        <v>137</v>
      </c>
      <c r="KQ603" s="203" t="s">
        <v>69</v>
      </c>
      <c r="KR603" s="10">
        <f>KP603*1.1</f>
        <v>150.70000000000002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VLOOKUP(KV603,$A$681:$F$2272,6,FALSE)</f>
        <v>149</v>
      </c>
      <c r="KZ603" s="203" t="s">
        <v>69</v>
      </c>
      <c r="LA603" s="10">
        <f>KY603*1.1</f>
        <v>163.9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VLOOKUP(LE603,$A$681:$F$2272,6,FALSE)</f>
        <v>149</v>
      </c>
      <c r="LI603" s="203" t="s">
        <v>69</v>
      </c>
      <c r="LJ603" s="10">
        <f>LH603*1.1</f>
        <v>163.9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VLOOKUP(LN603,$A$681:$F$2272,6,FALSE)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VLOOKUP(LW603,$A$681:$F$2272,6,FALSE)</f>
        <v>137</v>
      </c>
      <c r="MA603" s="203" t="s">
        <v>69</v>
      </c>
      <c r="MB603" s="10">
        <f>LZ603*1.1</f>
        <v>150.70000000000002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VLOOKUP(MF603,$A$681:$F$2272,6,FALSE)</f>
        <v>149</v>
      </c>
      <c r="MJ603" s="203" t="s">
        <v>69</v>
      </c>
      <c r="MK603" s="10">
        <f>MI603*1.1</f>
        <v>163.9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VLOOKUP(MO603,$A$681:$F$2272,6,FALSE)</f>
        <v>342</v>
      </c>
      <c r="MS603" s="203" t="s">
        <v>69</v>
      </c>
      <c r="MT603" s="10">
        <f>MR603*1.1</f>
        <v>376.20000000000005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VLOOKUP(MX603,$A$681:$F$2272,6,FALSE)</f>
        <v>15</v>
      </c>
      <c r="NB603" s="203" t="s">
        <v>69</v>
      </c>
      <c r="NC603" s="10">
        <f>NA603*1.1</f>
        <v>16.5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VLOOKUP(NG603,$A$681:$F$2272,6,FALSE)</f>
        <v>149</v>
      </c>
      <c r="NK603" s="203" t="s">
        <v>69</v>
      </c>
      <c r="NL603" s="10">
        <f>NJ603*1.1</f>
        <v>163.9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VLOOKUP(NP603,$A$681:$F$2272,6,FALSE)</f>
        <v>137</v>
      </c>
      <c r="NT603" s="203" t="s">
        <v>69</v>
      </c>
      <c r="NU603" s="10">
        <f>NS603*1.1</f>
        <v>150.70000000000002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VLOOKUP(NY603,$A$681:$F$2272,6,FALSE)</f>
        <v>137</v>
      </c>
      <c r="OC603" s="203" t="s">
        <v>69</v>
      </c>
      <c r="OD603" s="10">
        <f>OB603*1.1</f>
        <v>150.70000000000002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VLOOKUP(OH603,$A$681:$F$2272,6,FALSE)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VLOOKUP(OQ603,$A$681:$F$2272,6,FALSE)</f>
        <v>15</v>
      </c>
      <c r="OU603" s="203" t="s">
        <v>69</v>
      </c>
      <c r="OV603" s="10">
        <f>OT603*1.1</f>
        <v>16.5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VLOOKUP(OZ603,$A$681:$F$2272,6,FALSE)</f>
        <v>342</v>
      </c>
      <c r="PD603" s="203" t="s">
        <v>69</v>
      </c>
      <c r="PE603" s="10">
        <f>PC603*1.1</f>
        <v>376.20000000000005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VLOOKUP(PI603,$A$681:$F$2272,6,FALSE)</f>
        <v>149</v>
      </c>
      <c r="PM603" s="203" t="s">
        <v>69</v>
      </c>
      <c r="PN603" s="10">
        <f>PL603*1.1</f>
        <v>163.9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VLOOKUP(PR603,$A$681:$F$2272,6,FALSE)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VLOOKUP(QA603,$A$681:$F$2272,6,FALSE)</f>
        <v>15</v>
      </c>
      <c r="QE603" s="203" t="s">
        <v>69</v>
      </c>
      <c r="QF603" s="10">
        <f>QD603*1.1</f>
        <v>16.5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VLOOKUP(QJ603,$A$681:$F$2272,6,FALSE)</f>
        <v>15</v>
      </c>
      <c r="QN603" s="203" t="s">
        <v>69</v>
      </c>
      <c r="QO603" s="10">
        <f>QM603*1.1</f>
        <v>16.5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VLOOKUP(QS603,$A$681:$F$2272,6,FALSE)</f>
        <v>15</v>
      </c>
      <c r="QW603" s="203" t="s">
        <v>69</v>
      </c>
      <c r="QX603" s="10">
        <f>QV603*1.1</f>
        <v>16.5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VLOOKUP(RB603,$A$681:$F$2272,6,FALSE)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VLOOKUP(RK603,$A$681:$F$2272,6,FALSE)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VLOOKUP(RT603,$A$681:$F$2272,6,FALSE)</f>
        <v>342</v>
      </c>
      <c r="RX603" s="203" t="s">
        <v>69</v>
      </c>
      <c r="RY603" s="10">
        <f>RW603*1.1</f>
        <v>376.20000000000005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VLOOKUP(SC603,$A$681:$F$2272,6,FALSE)</f>
        <v>149</v>
      </c>
      <c r="SG603" s="203" t="s">
        <v>69</v>
      </c>
      <c r="SH603" s="10">
        <f>SF603*1.1</f>
        <v>163.9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VLOOKUP(SL603,$A$681:$F$2272,6,FALSE)</f>
        <v>342</v>
      </c>
      <c r="SP603" s="203" t="s">
        <v>69</v>
      </c>
      <c r="SQ603" s="10">
        <f>SO603*1.1</f>
        <v>376.20000000000005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VLOOKUP(SU603,$A$681:$F$2272,6,FALSE)</f>
        <v>461</v>
      </c>
      <c r="SY603" s="203" t="s">
        <v>69</v>
      </c>
      <c r="SZ603" s="10">
        <f>SX603*1.1</f>
        <v>507.1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VLOOKUP(TD603,$A$681:$F$2272,6,FALSE)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VLOOKUP(TM603,$A$681:$F$2272,6,FALSE)</f>
        <v>137</v>
      </c>
      <c r="TQ603" s="203" t="s">
        <v>69</v>
      </c>
      <c r="TR603" s="10">
        <f>TP603*1.1</f>
        <v>150.70000000000002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VLOOKUP(TV603,$A$681:$F$2272,6,FALSE)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VLOOKUP(UE603,$A$681:$F$2272,6,FALSE)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VLOOKUP(UN603,$A$681:$F$2272,6,FALSE)</f>
        <v>137</v>
      </c>
      <c r="UR603" s="203" t="s">
        <v>69</v>
      </c>
      <c r="US603" s="10">
        <f>UQ603*1.1</f>
        <v>150.70000000000002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VLOOKUP(UW603,$A$681:$F$2272,6,FALSE)</f>
        <v>461</v>
      </c>
      <c r="VA603" s="203" t="s">
        <v>69</v>
      </c>
      <c r="VB603" s="10">
        <f>UZ603*1.1</f>
        <v>507.1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VLOOKUP(VF603,$A$681:$F$2272,6,FALSE)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VLOOKUP(VO603,$A$681:$F$2272,6,FALSE)</f>
        <v>622</v>
      </c>
      <c r="VS603" s="203" t="s">
        <v>69</v>
      </c>
      <c r="VT603" s="10">
        <f>VR603*1.1</f>
        <v>684.2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VLOOKUP(VX603,$A$681:$F$2272,6,FALSE)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VLOOKUP(WG603,$A$681:$F$2272,6,FALSE)</f>
        <v>622</v>
      </c>
      <c r="WK603" s="203" t="s">
        <v>69</v>
      </c>
      <c r="WL603" s="10">
        <f>WJ603*1.1</f>
        <v>684.2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VLOOKUP(WP603,$A$681:$F$2272,6,FALSE)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VLOOKUP(WY603,$A$681:$F$2272,6,FALSE)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VLOOKUP(XH603,$A$681:$F$2272,6,FALSE)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1002</v>
      </c>
      <c r="XS603" s="204"/>
      <c r="XT603" s="204">
        <f>VLOOKUP(XQ603,$A$681:$F$2272,6,FALSE)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VLOOKUP(XZ603,$A$681:$F$2272,6,FALSE)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VLOOKUP(YI603,$A$681:$F$2272,6,FALSE)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VLOOKUP(YR603,$A$681:$F$2272,6,FALSE)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VLOOKUP(ZA603,$A$681:$F$2272,6,FALSE)</f>
        <v>342</v>
      </c>
      <c r="ZE603" s="203" t="s">
        <v>69</v>
      </c>
      <c r="ZF603" s="10">
        <f>ZD603*1.1</f>
        <v>376.20000000000005</v>
      </c>
      <c r="ZH603" s="274"/>
      <c r="ZI603" s="203" t="s">
        <v>68</v>
      </c>
      <c r="ZJ603" s="277" t="s">
        <v>491</v>
      </c>
      <c r="ZL603" s="204"/>
      <c r="ZM603" s="204">
        <f>VLOOKUP(ZJ603,$A$681:$F$2272,6,FALSE)</f>
        <v>342</v>
      </c>
      <c r="ZN603" s="203" t="s">
        <v>69</v>
      </c>
      <c r="ZO603" s="10">
        <f>ZM603*1.1</f>
        <v>376.20000000000005</v>
      </c>
      <c r="ZQ603" s="274"/>
      <c r="ZR603" s="203" t="s">
        <v>68</v>
      </c>
      <c r="ZS603" s="277" t="s">
        <v>957</v>
      </c>
      <c r="ZU603" s="204"/>
      <c r="ZV603" s="204">
        <f>VLOOKUP(ZS603,$A$681:$F$2272,6,FALSE)</f>
        <v>149</v>
      </c>
      <c r="ZW603" s="203" t="s">
        <v>69</v>
      </c>
      <c r="ZX603" s="10">
        <f>ZV603*1.1</f>
        <v>163.9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VLOOKUP(AAB603,$A$681:$F$2272,6,FALSE)</f>
        <v>149</v>
      </c>
      <c r="AAF603" s="203" t="s">
        <v>69</v>
      </c>
      <c r="AAG603" s="10">
        <f>AAE603*1.1</f>
        <v>163.9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VLOOKUP(AAK603,$A$681:$F$2272,6,FALSE)</f>
        <v>137</v>
      </c>
      <c r="AAO603" s="203" t="s">
        <v>69</v>
      </c>
      <c r="AAP603" s="10">
        <f>AAN603*1.1</f>
        <v>150.70000000000002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VLOOKUP(AAT603,$A$681:$F$2272,6,FALSE)</f>
        <v>15</v>
      </c>
      <c r="AAX603" s="203" t="s">
        <v>69</v>
      </c>
      <c r="AAY603" s="10">
        <f>AAW603*1.1</f>
        <v>16.5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VLOOKUP(ABC603,$A$681:$F$2272,6,FALSE)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VLOOKUP(ABL603,$A$681:$F$2272,6,FALSE)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VLOOKUP(ABU603,$A$681:$F$2272,6,FALSE)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VLOOKUP(ACD603,$A$681:$F$2272,6,FALSE)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VLOOKUP(ACM603,$A$681:$F$2272,6,FALSE)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VLOOKUP(ACV603,$A$681:$F$2272,6,FALSE)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VLOOKUP(ADE603,$A$681:$F$2272,6,FALSE)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VLOOKUP(ADN603,$A$681:$F$2272,6,FALSE)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VLOOKUP(ADW603,$A$681:$F$2272,6,FALSE)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VLOOKUP(AEF603,$A$681:$F$2272,6,FALSE)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VLOOKUP(AEO603,$A$681:$F$2272,6,FALSE)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VLOOKUP(AEX603,$A$681:$F$2272,6,FALSE)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VLOOKUP(AFG603,$A$681:$F$2272,6,FALSE)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VLOOKUP(AFP603,$A$681:$F$2272,6,FALSE)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VLOOKUP(AFY603,$A$681:$F$2272,6,FALSE)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VLOOKUP(AGH603,$A$681:$F$2272,6,FALSE)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VLOOKUP(AGQ603,$A$681:$F$2272,6,FALSE)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VLOOKUP(AGZ603,$A$681:$F$2272,6,FALSE)</f>
        <v>137</v>
      </c>
      <c r="AHD603" s="203" t="s">
        <v>69</v>
      </c>
      <c r="AHE603" s="10">
        <f>AHC603*1.1</f>
        <v>150.70000000000002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VLOOKUP(AHI603,$A$681:$F$2272,6,FALSE)</f>
        <v>15</v>
      </c>
      <c r="AHM603" s="203" t="s">
        <v>69</v>
      </c>
      <c r="AHN603" s="10">
        <f>AHL603*1.1</f>
        <v>16.5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VLOOKUP(AHR603,$A$681:$F$2272,6,FALSE)</f>
        <v>137</v>
      </c>
      <c r="AHV603" s="203" t="s">
        <v>69</v>
      </c>
      <c r="AHW603" s="10">
        <f>AHU603*1.1</f>
        <v>150.70000000000002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VLOOKUP(AIA603,$A$681:$F$2272,6,FALSE)</f>
        <v>15</v>
      </c>
      <c r="AIE603" s="203" t="s">
        <v>69</v>
      </c>
      <c r="AIF603" s="10">
        <f>AID603*1.1</f>
        <v>16.5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VLOOKUP(AIJ603,$A$681:$F$2272,6,FALSE)</f>
        <v>149</v>
      </c>
      <c r="AIN603" s="203" t="s">
        <v>69</v>
      </c>
      <c r="AIO603" s="10">
        <f>AIM603*1.1</f>
        <v>163.9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VLOOKUP(AIS603,$A$681:$F$2272,6,FALSE)</f>
        <v>137</v>
      </c>
      <c r="AIW603" s="203" t="s">
        <v>69</v>
      </c>
      <c r="AIX603" s="10">
        <f>AIV603*1.1</f>
        <v>150.70000000000002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VLOOKUP(AJB603,$A$681:$F$2272,6,FALSE)</f>
        <v>15</v>
      </c>
      <c r="AJF603" s="203" t="s">
        <v>69</v>
      </c>
      <c r="AJG603" s="10">
        <f>AJE603*1.1</f>
        <v>16.5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VLOOKUP(AJK603,$A$681:$F$2272,6,FALSE)</f>
        <v>149</v>
      </c>
      <c r="AJO603" s="203" t="s">
        <v>69</v>
      </c>
      <c r="AJP603" s="10">
        <f>AJN603*1.1</f>
        <v>163.9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VLOOKUP(AJT603,$A$681:$F$2272,6,FALSE)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VLOOKUP(AKC603,$A$681:$F$2272,6,FALSE)</f>
        <v>149</v>
      </c>
      <c r="AKG603" s="203" t="s">
        <v>69</v>
      </c>
      <c r="AKH603" s="10">
        <f>AKF603*1.1</f>
        <v>163.9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VLOOKUP(AKL603,$A$681:$F$2272,6,FALSE)</f>
        <v>149</v>
      </c>
      <c r="AKP603" s="203" t="s">
        <v>69</v>
      </c>
      <c r="AKQ603" s="10">
        <f>AKO603*1.1</f>
        <v>163.9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VLOOKUP(AKU603,$A$681:$F$2272,6,FALSE)</f>
        <v>342</v>
      </c>
      <c r="AKY603" s="203" t="s">
        <v>69</v>
      </c>
      <c r="AKZ603" s="10">
        <f>AKX603*1.1</f>
        <v>376.20000000000005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VLOOKUP(ALD603,$A$681:$F$2272,6,FALSE)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VLOOKUP(ALM603,$A$681:$F$2272,6,FALSE)</f>
        <v>461</v>
      </c>
      <c r="ALQ603" s="203" t="s">
        <v>69</v>
      </c>
      <c r="ALR603" s="10">
        <f>ALP603*1.1</f>
        <v>507.1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VLOOKUP(ALV603,$A$681:$F$2272,6,FALSE)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VLOOKUP(AME603,$A$681:$F$2272,6,FALSE)</f>
        <v>149</v>
      </c>
      <c r="AMI603" s="203" t="s">
        <v>69</v>
      </c>
      <c r="AMJ603" s="10">
        <f>AMH603*1.1</f>
        <v>163.9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VLOOKUP(AMN603,$A$681:$F$2272,6,FALSE)</f>
        <v>149</v>
      </c>
      <c r="AMR603" s="203" t="s">
        <v>69</v>
      </c>
      <c r="AMS603" s="10">
        <f>AMQ603*1.1</f>
        <v>163.9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VLOOKUP(AMW603,$A$681:$F$2272,6,FALSE)</f>
        <v>342</v>
      </c>
      <c r="ANA603" s="203" t="s">
        <v>69</v>
      </c>
      <c r="ANB603" s="10">
        <f>AMZ603*1.1</f>
        <v>376.20000000000005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VLOOKUP(ANF603,$A$681:$F$2272,6,FALSE)</f>
        <v>15</v>
      </c>
      <c r="ANJ603" s="203" t="s">
        <v>69</v>
      </c>
      <c r="ANK603" s="10">
        <f>ANI603*1.1</f>
        <v>16.5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VLOOKUP(ANO603,$A$681:$F$2272,6,FALSE)</f>
        <v>461</v>
      </c>
      <c r="ANS603" s="203" t="s">
        <v>69</v>
      </c>
      <c r="ANT603" s="10">
        <f>ANR603*1.1</f>
        <v>507.1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VLOOKUP(ANX603,$A$681:$F$2272,6,FALSE)</f>
        <v>383</v>
      </c>
      <c r="AOB603" s="203" t="s">
        <v>69</v>
      </c>
      <c r="AOC603" s="10">
        <f>AOA603*1.1</f>
        <v>421.3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VLOOKUP(AOG603,$A$681:$F$2272,6,FALSE)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VLOOKUP(AOP603,$A$681:$F$2272,6,FALSE)</f>
        <v>15</v>
      </c>
      <c r="AOT603" s="203" t="s">
        <v>69</v>
      </c>
      <c r="AOU603" s="10">
        <f>AOS603*1.1</f>
        <v>16.5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VLOOKUP(AOY603,$A$681:$F$2272,6,FALSE)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VLOOKUP(APH603,$A$681:$F$2272,6,FALSE)</f>
        <v>461</v>
      </c>
      <c r="APL603" s="203" t="s">
        <v>69</v>
      </c>
      <c r="APM603" s="10">
        <f>APK603*1.1</f>
        <v>507.1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VLOOKUP(APQ603,$A$681:$F$2272,6,FALSE)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VLOOKUP(APZ603,$A$681:$F$2272,6,FALSE)</f>
        <v>15</v>
      </c>
      <c r="AQD603" s="203" t="s">
        <v>69</v>
      </c>
      <c r="AQE603" s="10">
        <f>AQC603*1.1</f>
        <v>16.5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2328.8000000000002</v>
      </c>
      <c r="I604" s="268"/>
      <c r="J604" s="203"/>
      <c r="K604" s="415"/>
      <c r="M604" s="203"/>
      <c r="N604" s="203"/>
      <c r="O604" s="203"/>
      <c r="P604" s="10"/>
      <c r="Q604" s="10">
        <f>SUM(P599:P603)</f>
        <v>2540.0000000000005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2532.2000000000003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2534.9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2383.1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2532.2000000000003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2297.1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2516.6000000000004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2403.6000000000004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2623.5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2540.0000000000005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2265.8999999999996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2500.5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2551.0000000000005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2127.6000000000004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2312.6999999999998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2239.9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2532.2000000000003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2414.3000000000002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2328.8000000000002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2623.5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2511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2569.65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2540.0000000000005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2289.7999999999997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2492.2000000000003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2272.8000000000002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2615.1999999999998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2241.7999999999997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2579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2599.6000000000004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2374.1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2634.5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2650.6000000000004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2540.0000000000005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2168.6999999999998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2736.1000000000004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1776.6000000000001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2239.9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2221.4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2461.4999999999995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1457.7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2625.5000000000005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2232.6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2599.6000000000004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2646.5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2232.6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2271.6000000000004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2239.9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2509.1500000000005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2724.6000000000004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2250.4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2607.9000000000005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1694.4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2508.3000000000002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2245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2463.8999999999996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2497.3999999999996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2301.8000000000002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2540.0000000000005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1433.6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1897.6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2168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2477.6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2763.8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2607.9000000000005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2631.3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2304.5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1994.4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2215.7999999999997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1772.5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1727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2532.2000000000003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2086.1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1993.75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2400.7000000000003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2271.6000000000004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2311.25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2672.35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2271.6000000000004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2676.3500000000004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2422.1000000000004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2579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2607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1962.5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2425.5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2412.6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2489.1499999999996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2634.5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2618.9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2544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1877.3500000000001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2464.4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2358.9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2328.8000000000002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2239.9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2328.8000000000002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2188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2521.85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2281.25</v>
      </c>
      <c r="AQG604" s="274"/>
    </row>
    <row r="605" spans="1:1125" s="14" customFormat="1" ht="15">
      <c r="A605" s="203" t="s">
        <v>70</v>
      </c>
      <c r="B605" s="277" t="s">
        <v>2072</v>
      </c>
      <c r="D605" s="284">
        <f>IF(C605="Kopman",1.2,1)</f>
        <v>1</v>
      </c>
      <c r="E605" s="204">
        <f>VLOOKUP(B605,$A$681:$F$2272,6,FALSE)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VLOOKUP(K605,$A$681:$F$2272,6,FALSE)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VLOOKUP(T605,$A$681:$F$2272,6,FALSE)</f>
        <v>89</v>
      </c>
      <c r="X605" s="203" t="s">
        <v>61</v>
      </c>
      <c r="Y605" s="10">
        <f>W605*1.5*V605</f>
        <v>133.5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VLOOKUP(AC605,$A$681:$F$2272,6,FALSE)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2072</v>
      </c>
      <c r="AN605" s="284">
        <f>IF(AM605="Kopman",1.2,1)</f>
        <v>1</v>
      </c>
      <c r="AO605" s="204">
        <f>VLOOKUP(AL605,$A$681:$F$2272,6,FALSE)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VLOOKUP(AU605,$A$681:$F$2272,6,FALSE)</f>
        <v>338</v>
      </c>
      <c r="AY605" s="203" t="s">
        <v>61</v>
      </c>
      <c r="AZ605" s="10">
        <f>AX605*1.5*AW605</f>
        <v>507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VLOOKUP(BD605,$A$681:$F$2272,6,FALSE)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VLOOKUP(BM605,$A$681:$F$2272,6,FALSE)</f>
        <v>102</v>
      </c>
      <c r="BQ605" s="203" t="s">
        <v>61</v>
      </c>
      <c r="BR605" s="10">
        <f>BP605*1.5*BO605</f>
        <v>153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VLOOKUP(BV605,$A$681:$F$2272,6,FALSE)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VLOOKUP(CE605,$A$681:$F$2272,6,FALSE)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2072</v>
      </c>
      <c r="CP605" s="284">
        <f>IF(CO605="Kopman",1.2,1)</f>
        <v>1</v>
      </c>
      <c r="CQ605" s="204">
        <f>VLOOKUP(CN605,$A$681:$F$2272,6,FALSE)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VLOOKUP(CW605,$A$681:$F$2272,6,FALSE)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2072</v>
      </c>
      <c r="DH605" s="284">
        <f>IF(DG605="Kopman",1.2,1)</f>
        <v>1</v>
      </c>
      <c r="DI605" s="204">
        <f>VLOOKUP(DF605,$A$681:$F$2272,6,FALSE)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VLOOKUP(DO605,$A$681:$F$2272,6,FALSE)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VLOOKUP(DX605,$A$681:$F$2272,6,FALSE)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VLOOKUP(EG605,$A$681:$F$2272,6,FALSE)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VLOOKUP(EP605,$A$681:$F$2272,6,FALSE)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2072</v>
      </c>
      <c r="FA605" s="284">
        <f>IF(EZ605="Kopman",1.2,1)</f>
        <v>1</v>
      </c>
      <c r="FB605" s="204">
        <f>VLOOKUP(EY605,$A$681:$F$2272,6,FALSE)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VLOOKUP(FH605,$A$681:$F$2272,6,FALSE)</f>
        <v>338</v>
      </c>
      <c r="FL605" s="203" t="s">
        <v>61</v>
      </c>
      <c r="FM605" s="10">
        <f>FK605*1.5*FJ605</f>
        <v>507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VLOOKUP(FQ605,$A$681:$F$2272,6,FALSE)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VLOOKUP(FZ605,$A$681:$F$2272,6,FALSE)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2072</v>
      </c>
      <c r="GK605" s="284">
        <f>IF(GJ605="Kopman",1.2,1)</f>
        <v>1</v>
      </c>
      <c r="GL605" s="204">
        <f>VLOOKUP(GI605,$A$681:$F$2272,6,FALSE)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2072</v>
      </c>
      <c r="GT605" s="284">
        <f>IF(GS605="Kopman",1.2,1)</f>
        <v>1</v>
      </c>
      <c r="GU605" s="204">
        <f>VLOOKUP(GR605,$A$681:$F$2272,6,FALSE)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VLOOKUP(HA605,$A$681:$F$2272,6,FALSE)</f>
        <v>271</v>
      </c>
      <c r="HE605" s="203" t="s">
        <v>61</v>
      </c>
      <c r="HF605" s="10">
        <f>HD605*1.5*HC605</f>
        <v>406.5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VLOOKUP(HJ605,$A$681:$F$2272,6,FALSE)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VLOOKUP(HS605,$A$681:$F$2272,6,FALSE)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VLOOKUP(IB605,$A$681:$F$2272,6,FALSE)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VLOOKUP(IK605,$A$681:$F$2272,6,FALSE)</f>
        <v>338</v>
      </c>
      <c r="IO605" s="203" t="s">
        <v>61</v>
      </c>
      <c r="IP605" s="10">
        <f>IN605*1.5*IM605</f>
        <v>507</v>
      </c>
      <c r="IQ605" s="10"/>
      <c r="IR605" s="268"/>
      <c r="IS605" s="203" t="s">
        <v>70</v>
      </c>
      <c r="IT605" s="417" t="s">
        <v>1642</v>
      </c>
      <c r="IU605" s="416" t="s">
        <v>2023</v>
      </c>
      <c r="IV605" s="284">
        <f>IF(IU605="Kopman",1.2,1)</f>
        <v>1.2</v>
      </c>
      <c r="IW605" s="204">
        <f>VLOOKUP(IT605,$A$681:$F$2272,6,FALSE)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VLOOKUP(JC605,$A$681:$F$2272,6,FALSE)</f>
        <v>338</v>
      </c>
      <c r="JG605" s="203" t="s">
        <v>61</v>
      </c>
      <c r="JH605" s="10">
        <f>JF605*1.5*JE605</f>
        <v>507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VLOOKUP(JL605,$A$681:$F$2272,6,FALSE)</f>
        <v>89</v>
      </c>
      <c r="JP605" s="203" t="s">
        <v>61</v>
      </c>
      <c r="JQ605" s="10">
        <f>JO605*1.5*JN605</f>
        <v>133.5</v>
      </c>
      <c r="JR605" s="10"/>
      <c r="JS605" s="268"/>
      <c r="JT605" s="203" t="s">
        <v>70</v>
      </c>
      <c r="JU605" s="417" t="s">
        <v>517</v>
      </c>
      <c r="JV605" s="416" t="s">
        <v>2023</v>
      </c>
      <c r="JW605" s="284">
        <f>IF(JV605="Kopman",1.2,1)</f>
        <v>1.2</v>
      </c>
      <c r="JX605" s="204">
        <f>VLOOKUP(JU605,$A$681:$F$2272,6,FALSE)</f>
        <v>338</v>
      </c>
      <c r="JY605" s="203" t="s">
        <v>61</v>
      </c>
      <c r="JZ605" s="10">
        <f>JX605*1.5*JW605</f>
        <v>608.4</v>
      </c>
      <c r="KA605" s="10"/>
      <c r="KB605" s="268"/>
      <c r="KC605" s="203" t="s">
        <v>70</v>
      </c>
      <c r="KD605" s="417" t="s">
        <v>517</v>
      </c>
      <c r="KE605" s="416" t="s">
        <v>2023</v>
      </c>
      <c r="KF605" s="284">
        <f>IF(KE605="Kopman",1.2,1)</f>
        <v>1.2</v>
      </c>
      <c r="KG605" s="204">
        <f>VLOOKUP(KD605,$A$681:$F$2272,6,FALSE)</f>
        <v>338</v>
      </c>
      <c r="KH605" s="203" t="s">
        <v>61</v>
      </c>
      <c r="KI605" s="10">
        <f>KG605*1.5*KF605</f>
        <v>608.4</v>
      </c>
      <c r="KJ605" s="10"/>
      <c r="KK605" s="268"/>
      <c r="KL605" s="203" t="s">
        <v>70</v>
      </c>
      <c r="KM605" s="277" t="s">
        <v>2072</v>
      </c>
      <c r="KO605" s="284">
        <f>IF(KN605="Kopman",1.2,1)</f>
        <v>1</v>
      </c>
      <c r="KP605" s="204">
        <f>VLOOKUP(KM605,$A$681:$F$2272,6,FALSE)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VLOOKUP(KV605,$A$681:$F$2272,6,FALSE)</f>
        <v>338</v>
      </c>
      <c r="KZ605" s="203" t="s">
        <v>61</v>
      </c>
      <c r="LA605" s="10">
        <f>KY605*1.5*KX605</f>
        <v>507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VLOOKUP(LE605,$A$681:$F$2272,6,FALSE)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VLOOKUP(LN605,$A$681:$F$2272,6,FALSE)</f>
        <v>89</v>
      </c>
      <c r="LR605" s="203" t="s">
        <v>61</v>
      </c>
      <c r="LS605" s="10">
        <f>LQ605*1.5*LP605</f>
        <v>133.5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VLOOKUP(LW605,$A$681:$F$2272,6,FALSE)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VLOOKUP(MF605,$A$681:$F$2272,6,FALSE)</f>
        <v>338</v>
      </c>
      <c r="MJ605" s="203" t="s">
        <v>61</v>
      </c>
      <c r="MK605" s="10">
        <f>MI605*1.5*MH605</f>
        <v>507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VLOOKUP(MO605,$A$681:$F$2272,6,FALSE)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VLOOKUP(MX605,$A$681:$F$2272,6,FALSE)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VLOOKUP(NG605,$A$681:$F$2272,6,FALSE)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VLOOKUP(NP605,$A$681:$F$2272,6,FALSE)</f>
        <v>102</v>
      </c>
      <c r="NT605" s="203" t="s">
        <v>61</v>
      </c>
      <c r="NU605" s="10">
        <f>NS605*1.5*NR605</f>
        <v>153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VLOOKUP(NY605,$A$681:$F$2272,6,FALSE)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VLOOKUP(OH605,$A$681:$F$2272,6,FALSE)</f>
        <v>338</v>
      </c>
      <c r="OL605" s="203" t="s">
        <v>61</v>
      </c>
      <c r="OM605" s="10">
        <f>OK605*1.5*OJ605</f>
        <v>507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VLOOKUP(OQ605,$A$681:$F$2272,6,FALSE)</f>
        <v>338</v>
      </c>
      <c r="OU605" s="203" t="s">
        <v>61</v>
      </c>
      <c r="OV605" s="10">
        <f>OT605*1.5*OS605</f>
        <v>507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VLOOKUP(OZ605,$A$681:$F$2272,6,FALSE)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2072</v>
      </c>
      <c r="PK605" s="284">
        <f>IF(PJ605="Kopman",1.2,1)</f>
        <v>1</v>
      </c>
      <c r="PL605" s="204">
        <f>VLOOKUP(PI605,$A$681:$F$2272,6,FALSE)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VLOOKUP(PR605,$A$681:$F$2272,6,FALSE)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VLOOKUP(QA605,$A$681:$F$2272,6,FALSE)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VLOOKUP(QJ605,$A$681:$F$2272,6,FALSE)</f>
        <v>338</v>
      </c>
      <c r="QN605" s="203" t="s">
        <v>61</v>
      </c>
      <c r="QO605" s="10">
        <f>QM605*1.5*QL605</f>
        <v>507</v>
      </c>
      <c r="QP605" s="10"/>
      <c r="QQ605" s="268"/>
      <c r="QR605" s="203" t="s">
        <v>70</v>
      </c>
      <c r="QS605" s="277" t="s">
        <v>2072</v>
      </c>
      <c r="QU605" s="284">
        <f>IF(QT605="Kopman",1.2,1)</f>
        <v>1</v>
      </c>
      <c r="QV605" s="204">
        <f>VLOOKUP(QS605,$A$681:$F$2272,6,FALSE)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VLOOKUP(RB605,$A$681:$F$2272,6,FALSE)</f>
        <v>388</v>
      </c>
      <c r="RF605" s="203" t="s">
        <v>61</v>
      </c>
      <c r="RG605" s="10">
        <f>RE605*1.5*RD605</f>
        <v>582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VLOOKUP(RK605,$A$681:$F$2272,6,FALSE)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VLOOKUP(RT605,$A$681:$F$2272,6,FALSE)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VLOOKUP(SC605,$A$681:$F$2272,6,FALSE)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VLOOKUP(SL605,$A$681:$F$2272,6,FALSE)</f>
        <v>338</v>
      </c>
      <c r="SP605" s="203" t="s">
        <v>61</v>
      </c>
      <c r="SQ605" s="10">
        <f>SO605*1.5*SN605</f>
        <v>507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VLOOKUP(SU605,$A$681:$F$2272,6,FALSE)</f>
        <v>388</v>
      </c>
      <c r="SY605" s="203" t="s">
        <v>61</v>
      </c>
      <c r="SZ605" s="10">
        <f>SX605*1.5*SW605</f>
        <v>582</v>
      </c>
      <c r="TA605" s="10"/>
      <c r="TB605" s="274"/>
      <c r="TC605" s="203" t="s">
        <v>70</v>
      </c>
      <c r="TD605" s="428" t="s">
        <v>425</v>
      </c>
      <c r="TE605" s="416" t="s">
        <v>2023</v>
      </c>
      <c r="TF605" s="284">
        <f>IF(TE605="Kopman",1.2,1)</f>
        <v>1.2</v>
      </c>
      <c r="TG605" s="204">
        <f>VLOOKUP(TD605,$A$681:$F$2272,6,FALSE)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VLOOKUP(TM605,$A$681:$F$2272,6,FALSE)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VLOOKUP(TV605,$A$681:$F$2272,6,FALSE)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VLOOKUP(#REF!,$A$681:$F$2272,6,FALSE)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VLOOKUP(UN605,$A$681:$F$2272,6,FALSE)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VLOOKUP(UW605,$A$681:$F$2272,6,FALSE)</f>
        <v>338</v>
      </c>
      <c r="VA605" s="203" t="s">
        <v>61</v>
      </c>
      <c r="VB605" s="10">
        <f>UZ605*1.5*UY605</f>
        <v>507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VLOOKUP(VF605,$A$681:$F$2272,6,FALSE)</f>
        <v>71</v>
      </c>
      <c r="VJ605" s="203" t="s">
        <v>61</v>
      </c>
      <c r="VK605" s="10">
        <f>VI605*1.5*VH605</f>
        <v>106.5</v>
      </c>
      <c r="VL605" s="10"/>
      <c r="VM605" s="274"/>
      <c r="VN605" s="203" t="s">
        <v>70</v>
      </c>
      <c r="VO605" s="277" t="s">
        <v>2072</v>
      </c>
      <c r="VQ605" s="284">
        <f>IF(VP605="Kopman",1.2,1)</f>
        <v>1</v>
      </c>
      <c r="VR605" s="204">
        <f>VLOOKUP(VO605,$A$681:$F$2272,6,FALSE)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VLOOKUP(VX605,$A$681:$F$2272,6,FALSE)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VLOOKUP(WG605,$A$681:$F$2272,6,FALSE)</f>
        <v>102</v>
      </c>
      <c r="WK605" s="203" t="s">
        <v>61</v>
      </c>
      <c r="WL605" s="10">
        <f>WJ605*1.5</f>
        <v>153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VLOOKUP(WP605,$A$681:$F$2272,6,FALSE)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VLOOKUP(WY605,$A$681:$F$2272,6,FALSE)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2072</v>
      </c>
      <c r="XJ605" s="284">
        <f>IF(XI605="Kopman",1.2,1)</f>
        <v>1</v>
      </c>
      <c r="XK605" s="204">
        <f>VLOOKUP(XH605,$A$681:$F$2272,6,FALSE)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2072</v>
      </c>
      <c r="XS605" s="284">
        <f>IF(XR605="Kopman",1.2,1)</f>
        <v>1</v>
      </c>
      <c r="XT605" s="204">
        <f>VLOOKUP(XQ605,$A$681:$F$2272,6,FALSE)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VLOOKUP(XZ605,$A$681:$F$2272,6,FALSE)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VLOOKUP(YI605,$A$681:$F$2272,6,FALSE)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VLOOKUP(YR605,$A$681:$F$2272,6,FALSE)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VLOOKUP(ZA605,$A$681:$F$2272,6,FALSE)</f>
        <v>89</v>
      </c>
      <c r="ZE605" s="203" t="s">
        <v>61</v>
      </c>
      <c r="ZF605" s="10">
        <f>ZD605*1.5</f>
        <v>133.5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VLOOKUP(ZJ605,$A$681:$F$2272,6,FALSE)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VLOOKUP(ZS605,$A$681:$F$2272,6,FALSE)</f>
        <v>34</v>
      </c>
      <c r="ZW605" s="203" t="s">
        <v>61</v>
      </c>
      <c r="ZX605" s="10">
        <f>ZV605*1.5*ZU605</f>
        <v>51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VLOOKUP(AAB605,$A$681:$F$2272,6,FALSE)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VLOOKUP(AAK605,$A$681:$F$2272,6,FALSE)</f>
        <v>338</v>
      </c>
      <c r="AAO605" s="203" t="s">
        <v>61</v>
      </c>
      <c r="AAP605" s="10">
        <f>AAN605*1.5*AAM605</f>
        <v>507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VLOOKUP(AAT605,$A$681:$F$2272,6,FALSE)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VLOOKUP(ABC605,$A$681:$F$2272,6,FALSE)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VLOOKUP(ABL605,$A$681:$F$2272,6,FALSE)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VLOOKUP(ABU605,$A$681:$F$2272,6,FALSE)</f>
        <v>71</v>
      </c>
      <c r="ABY605" s="203" t="s">
        <v>61</v>
      </c>
      <c r="ABZ605" s="10">
        <f>ABX605*1.5*ABW605</f>
        <v>106.5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VLOOKUP(ACD605,$A$681:$F$2272,6,FALSE)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VLOOKUP(ACM605,$A$681:$F$2272,6,FALSE)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VLOOKUP(ACV605,$A$681:$F$2272,6,FALSE)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VLOOKUP(ADE605,$A$681:$F$2272,6,FALSE)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VLOOKUP(ADN605,$A$681:$F$2272,6,FALSE)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VLOOKUP(ADW605,$A$681:$F$2272,6,FALSE)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VLOOKUP(AEF605,$A$681:$F$2272,6,FALSE)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VLOOKUP(AEO605,$A$681:$F$2272,6,FALSE)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VLOOKUP(AEX605,$A$681:$F$2272,6,FALSE)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VLOOKUP(AFG605,$A$681:$F$2272,6,FALSE)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VLOOKUP(AFP605,$A$681:$F$2272,6,FALSE)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VLOOKUP(AFY605,$A$681:$F$2272,6,FALSE)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VLOOKUP(AGH605,$A$681:$F$2272,6,FALSE)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VLOOKUP(AGQ605,$A$681:$F$2272,6,FALSE)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2023</v>
      </c>
      <c r="AHB605" s="284">
        <f>IF(AHA605="Kopman",1.2,1)</f>
        <v>1.2</v>
      </c>
      <c r="AHC605" s="204">
        <f>VLOOKUP(AGZ605,$A$681:$F$2272,6,FALSE)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VLOOKUP(AHI605,$A$681:$F$2272,6,FALSE)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VLOOKUP(AHR605,$A$681:$F$2272,6,FALSE)</f>
        <v>89</v>
      </c>
      <c r="AHV605" s="203" t="s">
        <v>61</v>
      </c>
      <c r="AHW605" s="10">
        <f>AHU605*1.5*AHT605</f>
        <v>133.5</v>
      </c>
      <c r="AHX605" s="10"/>
      <c r="AHY605" s="274"/>
      <c r="AHZ605" s="203" t="s">
        <v>70</v>
      </c>
      <c r="AIA605" s="417" t="s">
        <v>2072</v>
      </c>
      <c r="AIB605" s="416" t="s">
        <v>2023</v>
      </c>
      <c r="AIC605" s="284">
        <f>IF(AIB605="Kopman",1.2,1)</f>
        <v>1.2</v>
      </c>
      <c r="AID605" s="204">
        <f>VLOOKUP(AIA605,$A$681:$F$2272,6,FALSE)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VLOOKUP(AIJ605,$A$681:$F$2272,6,FALSE)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VLOOKUP(AIS605,$A$681:$F$2272,6,FALSE)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VLOOKUP(AJB605,$A$681:$F$2272,6,FALSE)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VLOOKUP(AJK605,$A$681:$F$2272,6,FALSE)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VLOOKUP(AJT605,$A$681:$F$2272,6,FALSE)</f>
        <v>338</v>
      </c>
      <c r="AJX605" s="203" t="s">
        <v>61</v>
      </c>
      <c r="AJY605" s="10">
        <f>AJW605*1.5*AJV605</f>
        <v>507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VLOOKUP(AKC605,$A$681:$F$2272,6,FALSE)</f>
        <v>338</v>
      </c>
      <c r="AKG605" s="203" t="s">
        <v>61</v>
      </c>
      <c r="AKH605" s="10">
        <f>AKF605*1.5*AKE605</f>
        <v>507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VLOOKUP(AKL605,$A$681:$F$2272,6,FALSE)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VLOOKUP(AKU605,$A$681:$F$2272,6,FALSE)</f>
        <v>71</v>
      </c>
      <c r="AKY605" s="203" t="s">
        <v>61</v>
      </c>
      <c r="AKZ605" s="10">
        <f>AKX605*1.5*AKW605</f>
        <v>106.5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VLOOKUP(ALD605,$A$681:$F$2272,6,FALSE)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VLOOKUP(ALM605,$A$681:$F$2272,6,FALSE)</f>
        <v>271</v>
      </c>
      <c r="ALQ605" s="203" t="s">
        <v>61</v>
      </c>
      <c r="ALR605" s="10">
        <f>ALP605*1.5*ALO605</f>
        <v>406.5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VLOOKUP(ALV605,$A$681:$F$2272,6,FALSE)</f>
        <v>338</v>
      </c>
      <c r="ALZ605" s="203" t="s">
        <v>61</v>
      </c>
      <c r="AMA605" s="10">
        <f>ALY605*1.5*ALX605</f>
        <v>507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VLOOKUP(AME605,$A$681:$F$2272,6,FALSE)</f>
        <v>271</v>
      </c>
      <c r="AMI605" s="203" t="s">
        <v>61</v>
      </c>
      <c r="AMJ605" s="10">
        <f>AMH605*1.5*AMG605</f>
        <v>406.5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VLOOKUP(AMN605,$A$681:$F$2272,6,FALSE)</f>
        <v>338</v>
      </c>
      <c r="AMR605" s="203" t="s">
        <v>61</v>
      </c>
      <c r="AMS605" s="10">
        <f>AMQ605*1.5*AMP605</f>
        <v>507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VLOOKUP(AMW605,$A$681:$F$2272,6,FALSE)</f>
        <v>271</v>
      </c>
      <c r="ANA605" s="203" t="s">
        <v>61</v>
      </c>
      <c r="ANB605" s="10">
        <f>AMZ605*1.5*AMY605</f>
        <v>406.5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VLOOKUP(ANF605,$A$681:$F$2272,6,FALSE)</f>
        <v>338</v>
      </c>
      <c r="ANJ605" s="203" t="s">
        <v>61</v>
      </c>
      <c r="ANK605" s="10">
        <f>ANI605*1.5*ANH605</f>
        <v>507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VLOOKUP(ANO605,$A$681:$F$2272,6,FALSE)</f>
        <v>338</v>
      </c>
      <c r="ANS605" s="203" t="s">
        <v>61</v>
      </c>
      <c r="ANT605" s="10">
        <f>ANR605*1.5*ANQ605</f>
        <v>507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VLOOKUP(ANX605,$A$681:$F$2272,6,FALSE)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VLOOKUP(AOG605,$A$681:$F$2272,6,FALSE)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VLOOKUP(AOP605,$A$681:$F$2272,6,FALSE)</f>
        <v>271</v>
      </c>
      <c r="AOT605" s="203" t="s">
        <v>61</v>
      </c>
      <c r="AOU605" s="10">
        <f>AOS605*1.5*AOR605</f>
        <v>406.5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VLOOKUP(AOY605,$A$681:$F$2272,6,FALSE)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VLOOKUP(APH605,$A$681:$F$2272,6,FALSE)</f>
        <v>338</v>
      </c>
      <c r="APL605" s="203" t="s">
        <v>61</v>
      </c>
      <c r="APM605" s="10">
        <f>APK605*1.5*APJ605</f>
        <v>507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VLOOKUP(APQ605,$A$681:$F$2272,6,FALSE)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VLOOKUP(APZ605,$A$681:$F$2272,6,FALSE)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VLOOKUP(B606,$A$681:$F$2272,6,FALSE)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2072</v>
      </c>
      <c r="M606" s="204"/>
      <c r="N606" s="204">
        <f>VLOOKUP(K606,$A$681:$F$2272,6,FALSE)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2072</v>
      </c>
      <c r="V606" s="204"/>
      <c r="W606" s="204">
        <f>VLOOKUP(T606,$A$681:$F$2272,6,FALSE)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2072</v>
      </c>
      <c r="AE606" s="204"/>
      <c r="AF606" s="204">
        <f>VLOOKUP(AC606,$A$681:$F$2272,6,FALSE)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VLOOKUP(AL606,$A$681:$F$2272,6,FALSE)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2072</v>
      </c>
      <c r="AW606" s="204"/>
      <c r="AX606" s="204">
        <f>VLOOKUP(AU606,$A$681:$F$2272,6,FALSE)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VLOOKUP(BD606,$A$681:$F$2272,6,FALSE)</f>
        <v>271</v>
      </c>
      <c r="BH606" s="203" t="s">
        <v>63</v>
      </c>
      <c r="BI606" s="10">
        <f>BG606*1.4</f>
        <v>379.4</v>
      </c>
      <c r="BJ606" s="10"/>
      <c r="BK606" s="268"/>
      <c r="BL606" s="203" t="s">
        <v>71</v>
      </c>
      <c r="BM606" s="277" t="s">
        <v>2072</v>
      </c>
      <c r="BO606" s="204"/>
      <c r="BP606" s="204">
        <f>VLOOKUP(BM606,$A$681:$F$2272,6,FALSE)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VLOOKUP(BV606,$A$681:$F$2272,6,FALSE)</f>
        <v>338</v>
      </c>
      <c r="BZ606" s="203" t="s">
        <v>63</v>
      </c>
      <c r="CA606" s="10">
        <f>BY606*1.4</f>
        <v>473.2</v>
      </c>
      <c r="CB606" s="10"/>
      <c r="CC606" s="268"/>
      <c r="CD606" s="203" t="s">
        <v>71</v>
      </c>
      <c r="CE606" s="277" t="s">
        <v>2072</v>
      </c>
      <c r="CG606" s="204"/>
      <c r="CH606" s="204">
        <f>VLOOKUP(CE606,$A$681:$F$2272,6,FALSE)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VLOOKUP(CN606,$A$681:$F$2272,6,FALSE)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VLOOKUP(CW606,$A$681:$F$2272,6,FALSE)</f>
        <v>89</v>
      </c>
      <c r="DA606" s="203" t="s">
        <v>63</v>
      </c>
      <c r="DB606" s="10">
        <f>CZ606*1.4</f>
        <v>124.6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VLOOKUP(DF606,$A$681:$F$2272,6,FALSE)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VLOOKUP(DO606,$A$681:$F$2272,6,FALSE)</f>
        <v>338</v>
      </c>
      <c r="DS606" s="203" t="s">
        <v>63</v>
      </c>
      <c r="DT606" s="10">
        <f>DR606*1.4</f>
        <v>473.2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VLOOKUP(DX606,$A$681:$F$2272,6,FALSE)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VLOOKUP(EG606,$A$681:$F$2272,6,FALSE)</f>
        <v>338</v>
      </c>
      <c r="EK606" s="203" t="s">
        <v>63</v>
      </c>
      <c r="EL606" s="10">
        <f>EJ606*1.4</f>
        <v>473.2</v>
      </c>
      <c r="EM606" s="10"/>
      <c r="EN606" s="268"/>
      <c r="EO606" s="203" t="s">
        <v>71</v>
      </c>
      <c r="EP606" s="277" t="s">
        <v>2072</v>
      </c>
      <c r="ER606" s="204"/>
      <c r="ES606" s="204">
        <f>VLOOKUP(EP606,$A$681:$F$2272,6,FALSE)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VLOOKUP(EY606,$A$681:$F$2272,6,FALSE)</f>
        <v>271</v>
      </c>
      <c r="FC606" s="203" t="s">
        <v>63</v>
      </c>
      <c r="FD606" s="10">
        <f>FB606*1.4</f>
        <v>379.4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VLOOKUP(FH606,$A$681:$F$2272,6,FALSE)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VLOOKUP(FQ606,$A$681:$F$2272,6,FALSE)</f>
        <v>338</v>
      </c>
      <c r="FU606" s="203" t="s">
        <v>63</v>
      </c>
      <c r="FV606" s="10">
        <f>FT606*1.4</f>
        <v>473.2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VLOOKUP(FZ606,$A$681:$F$2272,6,FALSE)</f>
        <v>89</v>
      </c>
      <c r="GD606" s="203" t="s">
        <v>63</v>
      </c>
      <c r="GE606" s="10">
        <f>GC606*1.4</f>
        <v>124.6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VLOOKUP(GI606,$A$681:$F$2272,6,FALSE)</f>
        <v>338</v>
      </c>
      <c r="GM606" s="203" t="s">
        <v>63</v>
      </c>
      <c r="GN606" s="10">
        <f>GL606*1.4</f>
        <v>473.2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VLOOKUP(GR606,$A$681:$F$2272,6,FALSE)</f>
        <v>338</v>
      </c>
      <c r="GV606" s="203" t="s">
        <v>63</v>
      </c>
      <c r="GW606" s="10">
        <f>GU606*1.4</f>
        <v>473.2</v>
      </c>
      <c r="GX606" s="10"/>
      <c r="GY606" s="268"/>
      <c r="GZ606" s="203" t="s">
        <v>71</v>
      </c>
      <c r="HA606" s="277" t="s">
        <v>2072</v>
      </c>
      <c r="HC606" s="204"/>
      <c r="HD606" s="204">
        <f>VLOOKUP(HA606,$A$681:$F$2272,6,FALSE)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VLOOKUP(HJ606,$A$681:$F$2272,6,FALSE)</f>
        <v>338</v>
      </c>
      <c r="HN606" s="203" t="s">
        <v>63</v>
      </c>
      <c r="HO606" s="10">
        <f>HM606*1.4</f>
        <v>473.2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VLOOKUP(HS606,$A$681:$F$2272,6,FALSE)</f>
        <v>388</v>
      </c>
      <c r="HW606" s="203" t="s">
        <v>63</v>
      </c>
      <c r="HX606" s="10">
        <f>HV606*1.4</f>
        <v>543.19999999999993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VLOOKUP(IB606,$A$681:$F$2272,6,FALSE)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VLOOKUP(IK606,$A$681:$F$2272,6,FALSE)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VLOOKUP(IT606,$A$681:$F$2272,6,FALSE)</f>
        <v>271</v>
      </c>
      <c r="IX606" s="203" t="s">
        <v>63</v>
      </c>
      <c r="IY606" s="10">
        <f>IW606*1.4</f>
        <v>379.4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VLOOKUP(JC606,$A$681:$F$2272,6,FALSE)</f>
        <v>89</v>
      </c>
      <c r="JG606" s="203" t="s">
        <v>63</v>
      </c>
      <c r="JH606" s="10">
        <f>JF606*1.4</f>
        <v>124.6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VLOOKUP(JL606,$A$681:$F$2272,6,FALSE)</f>
        <v>71</v>
      </c>
      <c r="JP606" s="203" t="s">
        <v>63</v>
      </c>
      <c r="JQ606" s="10">
        <f>JO606*1.4</f>
        <v>99.399999999999991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VLOOKUP(JU606,$A$681:$F$2272,6,FALSE)</f>
        <v>34</v>
      </c>
      <c r="JY606" s="203" t="s">
        <v>63</v>
      </c>
      <c r="JZ606" s="10">
        <f>JX606*1.4</f>
        <v>47.599999999999994</v>
      </c>
      <c r="KA606" s="10"/>
      <c r="KB606" s="268"/>
      <c r="KC606" s="203" t="s">
        <v>71</v>
      </c>
      <c r="KD606" s="277" t="s">
        <v>2072</v>
      </c>
      <c r="KF606" s="204"/>
      <c r="KG606" s="204">
        <f>VLOOKUP(KD606,$A$681:$F$2272,6,FALSE)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VLOOKUP(KM606,$A$681:$F$2272,6,FALSE)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VLOOKUP(KV606,$A$681:$F$2272,6,FALSE)</f>
        <v>271</v>
      </c>
      <c r="KZ606" s="203" t="s">
        <v>63</v>
      </c>
      <c r="LA606" s="10">
        <f>KY606*1.4</f>
        <v>379.4</v>
      </c>
      <c r="LB606" s="10"/>
      <c r="LC606" s="268"/>
      <c r="LD606" s="203" t="s">
        <v>71</v>
      </c>
      <c r="LE606" s="277" t="s">
        <v>2072</v>
      </c>
      <c r="LG606" s="204"/>
      <c r="LH606" s="204">
        <f>VLOOKUP(LE606,$A$681:$F$2272,6,FALSE)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2072</v>
      </c>
      <c r="LP606" s="204"/>
      <c r="LQ606" s="204">
        <f>VLOOKUP(LN606,$A$681:$F$2272,6,FALSE)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VLOOKUP(LW606,$A$681:$F$2272,6,FALSE)</f>
        <v>388</v>
      </c>
      <c r="MA606" s="203" t="s">
        <v>63</v>
      </c>
      <c r="MB606" s="10">
        <f>LZ606*1.4</f>
        <v>543.19999999999993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VLOOKUP(MF606,$A$681:$F$2272,6,FALSE)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VLOOKUP(MO606,$A$681:$F$2272,6,FALSE)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2072</v>
      </c>
      <c r="MZ606" s="204"/>
      <c r="NA606" s="204">
        <f>VLOOKUP(MX606,$A$681:$F$2272,6,FALSE)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VLOOKUP(NG606,$A$681:$F$2272,6,FALSE)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VLOOKUP(NP606,$A$681:$F$2272,6,FALSE)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2072</v>
      </c>
      <c r="OA606" s="204"/>
      <c r="OB606" s="204">
        <f>VLOOKUP(NY606,$A$681:$F$2272,6,FALSE)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VLOOKUP(OH606,$A$681:$F$2272,6,FALSE)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VLOOKUP(OQ606,$A$681:$F$2272,6,FALSE)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VLOOKUP(OZ606,$A$681:$F$2272,6,FALSE)</f>
        <v>271</v>
      </c>
      <c r="PD606" s="203" t="s">
        <v>63</v>
      </c>
      <c r="PE606" s="10">
        <f>PC606*1.4</f>
        <v>379.4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VLOOKUP(PI606,$A$681:$F$2272,6,FALSE)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VLOOKUP(PR606,$A$681:$F$2272,6,FALSE)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VLOOKUP(QA606,$A$681:$F$2272,6,FALSE)</f>
        <v>102</v>
      </c>
      <c r="QE606" s="203" t="s">
        <v>63</v>
      </c>
      <c r="QF606" s="10">
        <f>QD606*1.4</f>
        <v>142.79999999999998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VLOOKUP(QJ606,$A$681:$F$2272,6,FALSE)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VLOOKUP(QS606,$A$681:$F$2272,6,FALSE)</f>
        <v>338</v>
      </c>
      <c r="QW606" s="203" t="s">
        <v>63</v>
      </c>
      <c r="QX606" s="10">
        <f>QV606*1.4</f>
        <v>473.2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VLOOKUP(RB606,$A$681:$F$2272,6,FALSE)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VLOOKUP(RK606,$A$681:$F$2272,6,FALSE)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VLOOKUP(RT606,$A$681:$F$2272,6,FALSE)</f>
        <v>338</v>
      </c>
      <c r="RX606" s="203" t="s">
        <v>63</v>
      </c>
      <c r="RY606" s="10">
        <f>RW606*1.4</f>
        <v>473.2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VLOOKUP(SC606,$A$681:$F$2272,6,FALSE)</f>
        <v>89</v>
      </c>
      <c r="SG606" s="203" t="s">
        <v>63</v>
      </c>
      <c r="SH606" s="10">
        <f>SF606*1.4</f>
        <v>124.6</v>
      </c>
      <c r="SI606" s="10"/>
      <c r="SJ606" s="274"/>
      <c r="SK606" s="203" t="s">
        <v>71</v>
      </c>
      <c r="SL606" s="277" t="s">
        <v>2072</v>
      </c>
      <c r="SN606" s="204"/>
      <c r="SO606" s="204">
        <f>VLOOKUP(SL606,$A$681:$F$2272,6,FALSE)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VLOOKUP(SU606,$A$681:$F$2272,6,FALSE)</f>
        <v>338</v>
      </c>
      <c r="SY606" s="203" t="s">
        <v>63</v>
      </c>
      <c r="SZ606" s="10">
        <f>SX606*1.4</f>
        <v>473.2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VLOOKUP(TD606,$A$681:$F$2272,6,FALSE)</f>
        <v>338</v>
      </c>
      <c r="TH606" s="203" t="s">
        <v>63</v>
      </c>
      <c r="TI606" s="10">
        <f>TG606*1.4</f>
        <v>473.2</v>
      </c>
      <c r="TK606" s="274"/>
      <c r="TL606" s="203" t="s">
        <v>71</v>
      </c>
      <c r="TM606" s="277" t="s">
        <v>566</v>
      </c>
      <c r="TO606" s="204"/>
      <c r="TP606" s="204">
        <f>VLOOKUP(TM606,$A$681:$F$2272,6,FALSE)</f>
        <v>271</v>
      </c>
      <c r="TQ606" s="203" t="s">
        <v>63</v>
      </c>
      <c r="TR606" s="10">
        <f>TP606*1.4</f>
        <v>379.4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VLOOKUP(TV606,$A$681:$F$2272,6,FALSE)</f>
        <v>338</v>
      </c>
      <c r="TZ606" s="203" t="s">
        <v>63</v>
      </c>
      <c r="UA606" s="10">
        <f>TY606*1.4</f>
        <v>473.2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VLOOKUP(UE606,$A$681:$F$2272,6,FALSE)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VLOOKUP(UN606,$A$681:$F$2272,6,FALSE)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VLOOKUP(UW606,$A$681:$F$2272,6,FALSE)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VLOOKUP(VF606,$A$681:$F$2272,6,FALSE)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VLOOKUP(VO606,$A$681:$F$2272,6,FALSE)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VLOOKUP(VX606,$A$681:$F$2272,6,FALSE)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VLOOKUP(WG606,$A$681:$F$2272,6,FALSE)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VLOOKUP(WP606,$A$681:$F$2272,6,FALSE)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VLOOKUP(WY606,$A$681:$F$2272,6,FALSE)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VLOOKUP(XH606,$A$681:$F$2272,6,FALSE)</f>
        <v>338</v>
      </c>
      <c r="XL606" s="203" t="s">
        <v>63</v>
      </c>
      <c r="XM606" s="10">
        <f>XK606*1.4</f>
        <v>473.2</v>
      </c>
      <c r="XO606" s="274"/>
      <c r="XP606" s="203" t="s">
        <v>71</v>
      </c>
      <c r="XQ606" s="277" t="s">
        <v>1642</v>
      </c>
      <c r="XS606" s="204"/>
      <c r="XT606" s="204">
        <f>VLOOKUP(XQ606,$A$681:$F$2272,6,FALSE)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VLOOKUP(XZ606,$A$681:$F$2272,6,FALSE)</f>
        <v>338</v>
      </c>
      <c r="YD606" s="203" t="s">
        <v>63</v>
      </c>
      <c r="YE606" s="10">
        <f>YC606*1.4</f>
        <v>473.2</v>
      </c>
      <c r="YG606" s="274"/>
      <c r="YH606" s="203" t="s">
        <v>71</v>
      </c>
      <c r="YI606" s="279" t="s">
        <v>183</v>
      </c>
      <c r="YK606" s="204"/>
      <c r="YL606" s="204" t="e">
        <f>VLOOKUP(YI606,$A$681:$F$2272,6,FALSE)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VLOOKUP(YR606,$A$681:$F$2272,6,FALSE)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VLOOKUP(ZA606,$A$681:$F$2272,6,FALSE)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VLOOKUP(ZJ606,$A$681:$F$2272,6,FALSE)</f>
        <v>338</v>
      </c>
      <c r="ZN606" s="203" t="s">
        <v>63</v>
      </c>
      <c r="ZO606" s="10">
        <f>ZM606*1.4</f>
        <v>473.2</v>
      </c>
      <c r="ZQ606" s="274"/>
      <c r="ZR606" s="203" t="s">
        <v>71</v>
      </c>
      <c r="ZS606" s="277" t="s">
        <v>679</v>
      </c>
      <c r="ZU606" s="204"/>
      <c r="ZV606" s="204">
        <f>VLOOKUP(ZS606,$A$681:$F$2272,6,FALSE)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VLOOKUP(AAB606,$A$681:$F$2272,6,FALSE)</f>
        <v>102</v>
      </c>
      <c r="AAF606" s="203" t="s">
        <v>63</v>
      </c>
      <c r="AAG606" s="10">
        <f>AAE606*1.4</f>
        <v>142.79999999999998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VLOOKUP(AAK606,$A$681:$F$2272,6,FALSE)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VLOOKUP(AAT606,$A$681:$F$2272,6,FALSE)</f>
        <v>89</v>
      </c>
      <c r="AAX606" s="203" t="s">
        <v>63</v>
      </c>
      <c r="AAY606" s="10">
        <f>AAW606*1.4</f>
        <v>124.6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VLOOKUP(ABC606,$A$681:$F$2272,6,FALSE)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2072</v>
      </c>
      <c r="ABN606" s="204"/>
      <c r="ABO606" s="204">
        <f>VLOOKUP(ABL606,$A$681:$F$2272,6,FALSE)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VLOOKUP(ABU606,$A$681:$F$2272,6,FALSE)</f>
        <v>89</v>
      </c>
      <c r="ABY606" s="203" t="s">
        <v>63</v>
      </c>
      <c r="ABZ606" s="10">
        <f>ABX606*1.4</f>
        <v>124.6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VLOOKUP(ACD606,$A$681:$F$2272,6,FALSE)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VLOOKUP(ACM606,$A$681:$F$2272,6,FALSE)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VLOOKUP(ACV606,$A$681:$F$2272,6,FALSE)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VLOOKUP(ADE606,$A$681:$F$2272,6,FALSE)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VLOOKUP(ADN606,$A$681:$F$2272,6,FALSE)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VLOOKUP(ADW606,$A$681:$F$2272,6,FALSE)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VLOOKUP(AEF606,$A$681:$F$2272,6,FALSE)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VLOOKUP(AEO606,$A$681:$F$2272,6,FALSE)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VLOOKUP(AEX606,$A$681:$F$2272,6,FALSE)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VLOOKUP(AFG606,$A$681:$F$2272,6,FALSE)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VLOOKUP(AFP606,$A$681:$F$2272,6,FALSE)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VLOOKUP(AFY606,$A$681:$F$2272,6,FALSE)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VLOOKUP(AGH606,$A$681:$F$2272,6,FALSE)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VLOOKUP(AGQ606,$A$681:$F$2272,6,FALSE)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VLOOKUP(AGZ606,$A$681:$F$2272,6,FALSE)</f>
        <v>128</v>
      </c>
      <c r="AHD606" s="203" t="s">
        <v>63</v>
      </c>
      <c r="AHE606" s="10">
        <f>AHC606*1.4</f>
        <v>179.2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VLOOKUP(AHI606,$A$681:$F$2272,6,FALSE)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VLOOKUP(AHR606,$A$681:$F$2272,6,FALSE)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VLOOKUP(AIA606,$A$681:$F$2272,6,FALSE)</f>
        <v>338</v>
      </c>
      <c r="AIE606" s="203" t="s">
        <v>63</v>
      </c>
      <c r="AIF606" s="10">
        <f>AID606*1.4</f>
        <v>473.2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VLOOKUP(AIJ606,$A$681:$F$2272,6,FALSE)</f>
        <v>128</v>
      </c>
      <c r="AIN606" s="203" t="s">
        <v>63</v>
      </c>
      <c r="AIO606" s="10">
        <f>AIM606*1.4</f>
        <v>179.2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VLOOKUP(AIS606,$A$681:$F$2272,6,FALSE)</f>
        <v>338</v>
      </c>
      <c r="AIW606" s="203" t="s">
        <v>63</v>
      </c>
      <c r="AIX606" s="10">
        <f>AIV606*1.4</f>
        <v>473.2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VLOOKUP(AJB606,$A$681:$F$2272,6,FALSE)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VLOOKUP(AJK606,$A$681:$F$2272,6,FALSE)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VLOOKUP(AJT606,$A$681:$F$2272,6,FALSE)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VLOOKUP(AKC606,$A$681:$F$2272,6,FALSE)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VLOOKUP(AKL606,$A$681:$F$2272,6,FALSE)</f>
        <v>89</v>
      </c>
      <c r="AKP606" s="203" t="s">
        <v>63</v>
      </c>
      <c r="AKQ606" s="10">
        <f>AKO606*1.4</f>
        <v>124.6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VLOOKUP(AKU606,$A$681:$F$2272,6,FALSE)</f>
        <v>34</v>
      </c>
      <c r="AKY606" s="203" t="s">
        <v>63</v>
      </c>
      <c r="AKZ606" s="10">
        <f>AKX606*1.4</f>
        <v>47.599999999999994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VLOOKUP(ALD606,$A$681:$F$2272,6,FALSE)</f>
        <v>71</v>
      </c>
      <c r="ALH606" s="203" t="s">
        <v>63</v>
      </c>
      <c r="ALI606" s="10">
        <f>ALG606*1.4</f>
        <v>99.399999999999991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VLOOKUP(ALM606,$A$681:$F$2272,6,FALSE)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VLOOKUP(ALV606,$A$681:$F$2272,6,FALSE)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2072</v>
      </c>
      <c r="AMG606" s="204"/>
      <c r="AMH606" s="204">
        <f>VLOOKUP(AME606,$A$681:$F$2272,6,FALSE)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VLOOKUP(AMN606,$A$681:$F$2272,6,FALSE)</f>
        <v>271</v>
      </c>
      <c r="AMR606" s="203" t="s">
        <v>63</v>
      </c>
      <c r="AMS606" s="10">
        <f>AMQ606*1.4</f>
        <v>379.4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VLOOKUP(AMW606,$A$681:$F$2272,6,FALSE)</f>
        <v>338</v>
      </c>
      <c r="ANA606" s="203" t="s">
        <v>63</v>
      </c>
      <c r="ANB606" s="10">
        <f>AMZ606*1.4</f>
        <v>473.2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VLOOKUP(ANF606,$A$681:$F$2272,6,FALSE)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VLOOKUP(ANO606,$A$681:$F$2272,6,FALSE)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VLOOKUP(ANX606,$A$681:$F$2272,6,FALSE)</f>
        <v>338</v>
      </c>
      <c r="AOB606" s="203" t="s">
        <v>63</v>
      </c>
      <c r="AOC606" s="10">
        <f>AOA606*1.4</f>
        <v>473.2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VLOOKUP(AOG606,$A$681:$F$2272,6,FALSE)</f>
        <v>271</v>
      </c>
      <c r="AOK606" s="203" t="s">
        <v>63</v>
      </c>
      <c r="AOL606" s="10">
        <f>AOJ606*1.4</f>
        <v>379.4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VLOOKUP(AOP606,$A$681:$F$2272,6,FALSE)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VLOOKUP(AOY606,$A$681:$F$2272,6,FALSE)</f>
        <v>338</v>
      </c>
      <c r="APC606" s="203" t="s">
        <v>63</v>
      </c>
      <c r="APD606" s="10">
        <f>APB606*1.4</f>
        <v>473.2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VLOOKUP(APH606,$A$681:$F$2272,6,FALSE)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VLOOKUP(APQ606,$A$681:$F$2272,6,FALSE)</f>
        <v>338</v>
      </c>
      <c r="APU606" s="203" t="s">
        <v>63</v>
      </c>
      <c r="APV606" s="10">
        <f>APT606*1.4</f>
        <v>473.2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VLOOKUP(APZ606,$A$681:$F$2272,6,FALSE)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VLOOKUP(B607,$A$681:$F$2272,6,FALSE)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VLOOKUP(K607,$A$681:$F$2272,6,FALSE)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VLOOKUP(T607,$A$681:$F$2272,6,FALSE)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VLOOKUP(AC607,$A$681:$F$2272,6,FALSE)</f>
        <v>89</v>
      </c>
      <c r="AG607" s="203" t="s">
        <v>65</v>
      </c>
      <c r="AH607" s="10">
        <f>AF607*1.3</f>
        <v>115.7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VLOOKUP(AL607,$A$681:$F$2272,6,FALSE)</f>
        <v>102</v>
      </c>
      <c r="AP607" s="203" t="s">
        <v>65</v>
      </c>
      <c r="AQ607" s="10">
        <f>AO607*1.3</f>
        <v>132.6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VLOOKUP(AU607,$A$681:$F$2272,6,FALSE)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VLOOKUP(BD607,$A$681:$F$2272,6,FALSE)</f>
        <v>338</v>
      </c>
      <c r="BH607" s="203" t="s">
        <v>65</v>
      </c>
      <c r="BI607" s="10">
        <f>BG607*1.3</f>
        <v>439.40000000000003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VLOOKUP(BM607,$A$681:$F$2272,6,FALSE)</f>
        <v>338</v>
      </c>
      <c r="BQ607" s="203" t="s">
        <v>65</v>
      </c>
      <c r="BR607" s="10">
        <f>BP607*1.3</f>
        <v>439.40000000000003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VLOOKUP(BV607,$A$681:$F$2272,6,FALSE)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VLOOKUP(CE607,$A$681:$F$2272,6,FALSE)</f>
        <v>102</v>
      </c>
      <c r="CI607" s="203" t="s">
        <v>65</v>
      </c>
      <c r="CJ607" s="10">
        <f>CH607*1.3</f>
        <v>132.6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VLOOKUP(CN607,$A$681:$F$2272,6,FALSE)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VLOOKUP(CW607,$A$681:$F$2272,6,FALSE)</f>
        <v>338</v>
      </c>
      <c r="DA607" s="203" t="s">
        <v>65</v>
      </c>
      <c r="DB607" s="10">
        <f>CZ607*1.3</f>
        <v>439.40000000000003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VLOOKUP(DF607,$A$681:$F$2272,6,FALSE)</f>
        <v>338</v>
      </c>
      <c r="DJ607" s="203" t="s">
        <v>65</v>
      </c>
      <c r="DK607" s="10">
        <f>DI607*1.3</f>
        <v>439.40000000000003</v>
      </c>
      <c r="DL607" s="10"/>
      <c r="DM607" s="268"/>
      <c r="DN607" s="203" t="s">
        <v>72</v>
      </c>
      <c r="DO607" s="277" t="s">
        <v>2072</v>
      </c>
      <c r="DQ607" s="204"/>
      <c r="DR607" s="204">
        <f>VLOOKUP(DO607,$A$681:$F$2272,6,FALSE)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VLOOKUP(DX607,$A$681:$F$2272,6,FALSE)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VLOOKUP(EG607,$A$681:$F$2272,6,FALSE)</f>
        <v>128</v>
      </c>
      <c r="EK607" s="203" t="s">
        <v>65</v>
      </c>
      <c r="EL607" s="10">
        <f>EJ607*1.3</f>
        <v>166.4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VLOOKUP(EP607,$A$681:$F$2272,6,FALSE)</f>
        <v>89</v>
      </c>
      <c r="ET607" s="203" t="s">
        <v>65</v>
      </c>
      <c r="EU607" s="10">
        <f>ES607*1.3</f>
        <v>115.7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VLOOKUP(EY607,$A$681:$F$2272,6,FALSE)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VLOOKUP(FH607,$A$681:$F$2272,6,FALSE)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2072</v>
      </c>
      <c r="FS607" s="204"/>
      <c r="FT607" s="204">
        <f>VLOOKUP(FQ607,$A$681:$F$2272,6,FALSE)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2072</v>
      </c>
      <c r="GB607" s="204"/>
      <c r="GC607" s="204">
        <f>VLOOKUP(FZ607,$A$681:$F$2272,6,FALSE)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VLOOKUP(GI607,$A$681:$F$2272,6,FALSE)</f>
        <v>89</v>
      </c>
      <c r="GM607" s="203" t="s">
        <v>65</v>
      </c>
      <c r="GN607" s="10">
        <f>GL607*1.3</f>
        <v>115.7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VLOOKUP(GR607,$A$681:$F$2272,6,FALSE)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VLOOKUP(HA607,$A$681:$F$2272,6,FALSE)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VLOOKUP(HJ607,$A$681:$F$2272,6,FALSE)</f>
        <v>89</v>
      </c>
      <c r="HN607" s="203" t="s">
        <v>65</v>
      </c>
      <c r="HO607" s="10">
        <f>HM607*1.3</f>
        <v>115.7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VLOOKUP(HS607,$A$681:$F$2272,6,FALSE)</f>
        <v>102</v>
      </c>
      <c r="HW607" s="203" t="s">
        <v>65</v>
      </c>
      <c r="HX607" s="10">
        <f>HV607*1.3</f>
        <v>132.6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VLOOKUP(IB607,$A$681:$F$2272,6,FALSE)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VLOOKUP(IK607,$A$681:$F$2272,6,FALSE)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VLOOKUP(IT607,$A$681:$F$2272,6,FALSE)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VLOOKUP(JC607,$A$681:$F$2272,6,FALSE)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2072</v>
      </c>
      <c r="JN607" s="204"/>
      <c r="JO607" s="204">
        <f>VLOOKUP(JL607,$A$681:$F$2272,6,FALSE)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VLOOKUP(JU607,$A$681:$F$2272,6,FALSE)</f>
        <v>271</v>
      </c>
      <c r="JY607" s="203" t="s">
        <v>65</v>
      </c>
      <c r="JZ607" s="10">
        <f>JX607*1.3</f>
        <v>352.3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VLOOKUP(KD607,$A$681:$F$2272,6,FALSE)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VLOOKUP(KM607,$A$681:$F$2272,6,FALSE)</f>
        <v>338</v>
      </c>
      <c r="KQ607" s="203" t="s">
        <v>65</v>
      </c>
      <c r="KR607" s="10">
        <f>KP607*1.3</f>
        <v>439.40000000000003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VLOOKUP(KV607,$A$681:$F$2272,6,FALSE)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VLOOKUP(LE607,$A$681:$F$2272,6,FALSE)</f>
        <v>338</v>
      </c>
      <c r="LI607" s="203" t="s">
        <v>65</v>
      </c>
      <c r="LJ607" s="10">
        <f>LH607*1.3</f>
        <v>439.40000000000003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VLOOKUP(LN607,$A$681:$F$2272,6,FALSE)</f>
        <v>338</v>
      </c>
      <c r="LR607" s="203" t="s">
        <v>65</v>
      </c>
      <c r="LS607" s="10">
        <f>LQ607*1.3</f>
        <v>439.40000000000003</v>
      </c>
      <c r="LT607" s="10"/>
      <c r="LU607" s="268"/>
      <c r="LV607" s="203" t="s">
        <v>72</v>
      </c>
      <c r="LW607" s="277" t="s">
        <v>2072</v>
      </c>
      <c r="LY607" s="204"/>
      <c r="LZ607" s="204">
        <f>VLOOKUP(LW607,$A$681:$F$2272,6,FALSE)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VLOOKUP(MF607,$A$681:$F$2272,6,FALSE)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VLOOKUP(MO607,$A$681:$F$2272,6,FALSE)</f>
        <v>388</v>
      </c>
      <c r="MS607" s="203" t="s">
        <v>65</v>
      </c>
      <c r="MT607" s="10">
        <f>MR607*1.3</f>
        <v>504.40000000000003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VLOOKUP(MX607,$A$681:$F$2272,6,FALSE)</f>
        <v>89</v>
      </c>
      <c r="NB607" s="203" t="s">
        <v>65</v>
      </c>
      <c r="NC607" s="10">
        <f>NA607*1.3</f>
        <v>115.7</v>
      </c>
      <c r="ND607" s="10"/>
      <c r="NE607" s="268"/>
      <c r="NF607" s="203" t="s">
        <v>72</v>
      </c>
      <c r="NG607" s="277" t="s">
        <v>2072</v>
      </c>
      <c r="NI607" s="204"/>
      <c r="NJ607" s="204">
        <f>VLOOKUP(NG607,$A$681:$F$2272,6,FALSE)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VLOOKUP(NP607,$A$681:$F$2272,6,FALSE)</f>
        <v>338</v>
      </c>
      <c r="NT607" s="203" t="s">
        <v>65</v>
      </c>
      <c r="NU607" s="10">
        <f>NS607*1.3</f>
        <v>439.40000000000003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VLOOKUP(NY607,$A$681:$F$2272,6,FALSE)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VLOOKUP(OH607,$A$681:$F$2272,6,FALSE)</f>
        <v>89</v>
      </c>
      <c r="OL607" s="203" t="s">
        <v>65</v>
      </c>
      <c r="OM607" s="10">
        <f>OK607*1.3</f>
        <v>115.7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VLOOKUP(OQ607,$A$681:$F$2272,6,FALSE)</f>
        <v>34</v>
      </c>
      <c r="OU607" s="203" t="s">
        <v>65</v>
      </c>
      <c r="OV607" s="10">
        <f>OT607*1.3</f>
        <v>44.2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VLOOKUP(OZ607,$A$681:$F$2272,6,FALSE)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VLOOKUP(PI607,$A$681:$F$2272,6,FALSE)</f>
        <v>89</v>
      </c>
      <c r="PM607" s="203" t="s">
        <v>65</v>
      </c>
      <c r="PN607" s="10">
        <f>PL607*1.3</f>
        <v>115.7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VLOOKUP(PR607,$A$681:$F$2272,6,FALSE)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VLOOKUP(QA607,$A$681:$F$2272,6,FALSE)</f>
        <v>338</v>
      </c>
      <c r="QE607" s="203" t="s">
        <v>65</v>
      </c>
      <c r="QF607" s="10">
        <f>QD607*1.3</f>
        <v>439.40000000000003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VLOOKUP(QJ607,$A$681:$F$2272,6,FALSE)</f>
        <v>388</v>
      </c>
      <c r="QN607" s="203" t="s">
        <v>65</v>
      </c>
      <c r="QO607" s="10">
        <f>QM607*1.3</f>
        <v>504.40000000000003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VLOOKUP(QS607,$A$681:$F$2272,6,FALSE)</f>
        <v>89</v>
      </c>
      <c r="QW607" s="203" t="s">
        <v>65</v>
      </c>
      <c r="QX607" s="10">
        <f>QV607*1.3</f>
        <v>115.7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VLOOKUP(RB607,$A$681:$F$2272,6,FALSE)</f>
        <v>338</v>
      </c>
      <c r="RF607" s="203" t="s">
        <v>65</v>
      </c>
      <c r="RG607" s="10">
        <f>RE607*1.3</f>
        <v>439.40000000000003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VLOOKUP(RK607,$A$681:$F$2272,6,FALSE)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VLOOKUP(RT607,$A$681:$F$2272,6,FALSE)</f>
        <v>271</v>
      </c>
      <c r="RX607" s="203" t="s">
        <v>65</v>
      </c>
      <c r="RY607" s="10">
        <f>RW607*1.3</f>
        <v>352.3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VLOOKUP(SC607,$A$681:$F$2272,6,FALSE)</f>
        <v>271</v>
      </c>
      <c r="SG607" s="203" t="s">
        <v>65</v>
      </c>
      <c r="SH607" s="10">
        <f>SF607*1.3</f>
        <v>352.3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VLOOKUP(SL607,$A$681:$F$2272,6,FALSE)</f>
        <v>102</v>
      </c>
      <c r="SP607" s="203" t="s">
        <v>65</v>
      </c>
      <c r="SQ607" s="10">
        <f>SO607*1.3</f>
        <v>132.6</v>
      </c>
      <c r="SR607" s="10"/>
      <c r="SS607" s="274"/>
      <c r="ST607" s="203" t="s">
        <v>72</v>
      </c>
      <c r="SU607" s="277" t="s">
        <v>2072</v>
      </c>
      <c r="SW607" s="204"/>
      <c r="SX607" s="204">
        <f>VLOOKUP(SU607,$A$681:$F$2272,6,FALSE)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VLOOKUP(TD607,$A$681:$F$2272,6,FALSE)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VLOOKUP(TM607,$A$681:$F$2272,6,FALSE)</f>
        <v>102</v>
      </c>
      <c r="TQ607" s="203" t="s">
        <v>65</v>
      </c>
      <c r="TR607" s="10">
        <f>TP607*1.3</f>
        <v>132.6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VLOOKUP(TV607,$A$681:$F$2272,6,FALSE)</f>
        <v>89</v>
      </c>
      <c r="TZ607" s="203" t="s">
        <v>65</v>
      </c>
      <c r="UA607" s="10">
        <f>TY607*1.3</f>
        <v>115.7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VLOOKUP(UE605,$A$681:$F$2272,6,FALSE)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VLOOKUP(UN607,$A$681:$F$2272,6,FALSE)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2072</v>
      </c>
      <c r="UY607" s="204"/>
      <c r="UZ607" s="204">
        <f>VLOOKUP(UW607,$A$681:$F$2272,6,FALSE)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VLOOKUP(VF607,$A$681:$F$2272,6,FALSE)</f>
        <v>89</v>
      </c>
      <c r="VJ607" s="203" t="s">
        <v>65</v>
      </c>
      <c r="VK607" s="10">
        <f>VI607*1.3</f>
        <v>115.7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VLOOKUP(VO607,$A$681:$F$2272,6,FALSE)</f>
        <v>71</v>
      </c>
      <c r="VS607" s="203" t="s">
        <v>65</v>
      </c>
      <c r="VT607" s="10">
        <f>VR607*1.3</f>
        <v>92.3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VLOOKUP(VX607,$A$681:$F$2272,6,FALSE)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VLOOKUP(WG607,$A$681:$F$2272,6,FALSE)</f>
        <v>71</v>
      </c>
      <c r="WK607" s="203" t="s">
        <v>65</v>
      </c>
      <c r="WL607" s="10">
        <f>WJ607*1.3</f>
        <v>92.3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VLOOKUP(WP607,$A$681:$F$2272,6,FALSE)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VLOOKUP(WY607,$A$681:$F$2272,6,FALSE)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VLOOKUP(XH607,$A$681:$F$2272,6,FALSE)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VLOOKUP(XQ607,$A$681:$F$2272,6,FALSE)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2072</v>
      </c>
      <c r="YB607" s="204"/>
      <c r="YC607" s="204">
        <f>VLOOKUP(XZ607,$A$681:$F$2272,6,FALSE)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VLOOKUP(YI607,$A$681:$F$2272,6,FALSE)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VLOOKUP(YR607,$A$681:$F$2272,6,FALSE)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2072</v>
      </c>
      <c r="ZC607" s="204"/>
      <c r="ZD607" s="204">
        <f>VLOOKUP(ZA607,$A$681:$F$2272,6,FALSE)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679</v>
      </c>
      <c r="ZL607" s="204"/>
      <c r="ZM607" s="204">
        <f>VLOOKUP(ZJ607,$A$681:$F$2272,6,FALSE)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VLOOKUP(ZS607,$A$681:$F$2272,6,FALSE)</f>
        <v>271</v>
      </c>
      <c r="ZW607" s="203" t="s">
        <v>65</v>
      </c>
      <c r="ZX607" s="10">
        <f>ZV607*1.3</f>
        <v>352.3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VLOOKUP(AAB607,$A$681:$F$2272,6,FALSE)</f>
        <v>128</v>
      </c>
      <c r="AAF607" s="203" t="s">
        <v>65</v>
      </c>
      <c r="AAG607" s="10">
        <f>AAE607*1.3</f>
        <v>166.4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VLOOKUP(AAK607,$A$681:$F$2272,6,FALSE)</f>
        <v>128</v>
      </c>
      <c r="AAO607" s="203" t="s">
        <v>65</v>
      </c>
      <c r="AAP607" s="10">
        <f>AAN607*1.3</f>
        <v>166.4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VLOOKUP(AAT607,$A$681:$F$2272,6,FALSE)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VLOOKUP(ABC607,$A$681:$F$2272,6,FALSE)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VLOOKUP(ABL607,$A$681:$F$2272,6,FALSE)</f>
        <v>71</v>
      </c>
      <c r="ABP607" s="203" t="s">
        <v>65</v>
      </c>
      <c r="ABQ607" s="10">
        <f>ABO607*1.3</f>
        <v>92.3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VLOOKUP(ABU607,$A$681:$F$2272,6,FALSE)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VLOOKUP(ACD607,$A$681:$F$2272,6,FALSE)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VLOOKUP(ACM607,$A$681:$F$2272,6,FALSE)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VLOOKUP(ACV607,$A$681:$F$2272,6,FALSE)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VLOOKUP(ADE607,$A$681:$F$2272,6,FALSE)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VLOOKUP(ADN607,$A$681:$F$2272,6,FALSE)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VLOOKUP(ADW607,$A$681:$F$2272,6,FALSE)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VLOOKUP(AEF607,$A$681:$F$2272,6,FALSE)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VLOOKUP(AEO607,$A$681:$F$2272,6,FALSE)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VLOOKUP(AEX607,$A$681:$F$2272,6,FALSE)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VLOOKUP(AFG607,$A$681:$F$2272,6,FALSE)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VLOOKUP(AFP607,$A$681:$F$2272,6,FALSE)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VLOOKUP(AFY607,$A$681:$F$2272,6,FALSE)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VLOOKUP(AGH607,$A$681:$F$2272,6,FALSE)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VLOOKUP(AGQ607,$A$681:$F$2272,6,FALSE)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VLOOKUP(AGZ607,$A$681:$F$2272,6,FALSE)</f>
        <v>338</v>
      </c>
      <c r="AHD607" s="203" t="s">
        <v>65</v>
      </c>
      <c r="AHE607" s="10">
        <f>AHC607*1.3</f>
        <v>439.40000000000003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VLOOKUP(AHI607,$A$681:$F$2272,6,FALSE)</f>
        <v>71</v>
      </c>
      <c r="AHM607" s="203" t="s">
        <v>65</v>
      </c>
      <c r="AHN607" s="10">
        <f>AHL607*1.3</f>
        <v>92.3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VLOOKUP(AHR607,$A$681:$F$2272,6,FALSE)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VLOOKUP(AIA607,$A$681:$F$2272,6,FALSE)</f>
        <v>89</v>
      </c>
      <c r="AIE607" s="203" t="s">
        <v>65</v>
      </c>
      <c r="AIF607" s="10">
        <f>AID607*1.3</f>
        <v>115.7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VLOOKUP(AIJ607,$A$681:$F$2272,6,FALSE)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VLOOKUP(AIS607,$A$681:$F$2272,6,FALSE)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VLOOKUP(AJB607,$A$681:$F$2272,6,FALSE)</f>
        <v>338</v>
      </c>
      <c r="AJF607" s="203" t="s">
        <v>65</v>
      </c>
      <c r="AJG607" s="10">
        <f>AJE607*1.3</f>
        <v>439.40000000000003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VLOOKUP(AJK607,$A$681:$F$2272,6,FALSE)</f>
        <v>271</v>
      </c>
      <c r="AJO607" s="203" t="s">
        <v>65</v>
      </c>
      <c r="AJP607" s="10">
        <f>AJN607*1.3</f>
        <v>352.3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VLOOKUP(AJT607,$A$681:$F$2272,6,FALSE)</f>
        <v>271</v>
      </c>
      <c r="AJX607" s="203" t="s">
        <v>65</v>
      </c>
      <c r="AJY607" s="10">
        <f>AJW607*1.3</f>
        <v>352.3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VLOOKUP(AKC607,$A$681:$F$2272,6,FALSE)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VLOOKUP(AKL607,$A$681:$F$2272,6,FALSE)</f>
        <v>271</v>
      </c>
      <c r="AKP607" s="203" t="s">
        <v>65</v>
      </c>
      <c r="AKQ607" s="10">
        <f>AKO607*1.3</f>
        <v>352.3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VLOOKUP(AKU607,$A$681:$F$2272,6,FALSE)</f>
        <v>338</v>
      </c>
      <c r="AKY607" s="203" t="s">
        <v>65</v>
      </c>
      <c r="AKZ607" s="10">
        <f>AKX607*1.3</f>
        <v>439.40000000000003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VLOOKUP(ALD607,$A$681:$F$2272,6,FALSE)</f>
        <v>128</v>
      </c>
      <c r="ALH607" s="203" t="s">
        <v>65</v>
      </c>
      <c r="ALI607" s="10">
        <f>ALG607*1.3</f>
        <v>166.4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VLOOKUP(ALM607,$A$681:$F$2272,6,FALSE)</f>
        <v>388</v>
      </c>
      <c r="ALQ607" s="203" t="s">
        <v>65</v>
      </c>
      <c r="ALR607" s="10">
        <f>ALP607*1.3</f>
        <v>504.40000000000003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VLOOKUP(ALV607,$A$681:$F$2272,6,FALSE)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VLOOKUP(AME607,$A$681:$F$2272,6,FALSE)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VLOOKUP(AMN607,$A$681:$F$2272,6,FALSE)</f>
        <v>34</v>
      </c>
      <c r="AMR607" s="203" t="s">
        <v>65</v>
      </c>
      <c r="AMS607" s="10">
        <f>AMQ607*1.3</f>
        <v>44.2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VLOOKUP(AMW607,$A$681:$F$2272,6,FALSE)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VLOOKUP(ANF607,$A$681:$F$2272,6,FALSE)</f>
        <v>388</v>
      </c>
      <c r="ANJ607" s="203" t="s">
        <v>65</v>
      </c>
      <c r="ANK607" s="10">
        <f>ANI607*1.3</f>
        <v>504.40000000000003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VLOOKUP(ANO607,$A$681:$F$2272,6,FALSE)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VLOOKUP(ANX607,$A$681:$F$2272,6,FALSE)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VLOOKUP(AOG607,$A$681:$F$2272,6,FALSE)</f>
        <v>388</v>
      </c>
      <c r="AOK607" s="203" t="s">
        <v>65</v>
      </c>
      <c r="AOL607" s="10">
        <f>AOJ607*1.3</f>
        <v>504.40000000000003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VLOOKUP(AOP607,$A$681:$F$2272,6,FALSE)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VLOOKUP(AOY607,$A$681:$F$2272,6,FALSE)</f>
        <v>89</v>
      </c>
      <c r="APC607" s="203" t="s">
        <v>65</v>
      </c>
      <c r="APD607" s="10">
        <f>APB607*1.3</f>
        <v>115.7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VLOOKUP(APH607,$A$681:$F$2272,6,FALSE)</f>
        <v>102</v>
      </c>
      <c r="APL607" s="203" t="s">
        <v>65</v>
      </c>
      <c r="APM607" s="10">
        <f>APK607*1.3</f>
        <v>132.6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VLOOKUP(APQ607,$A$681:$F$2272,6,FALSE)</f>
        <v>71</v>
      </c>
      <c r="APU607" s="203" t="s">
        <v>65</v>
      </c>
      <c r="APV607" s="10">
        <f>APT607*1.3</f>
        <v>92.3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VLOOKUP(APZ607,$A$681:$F$2272,6,FALSE)</f>
        <v>102</v>
      </c>
      <c r="AQD607" s="203" t="s">
        <v>65</v>
      </c>
      <c r="AQE607" s="10">
        <f>AQC607*1.3</f>
        <v>132.6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VLOOKUP(B608,$A$681:$F$2272,6,FALSE)</f>
        <v>338</v>
      </c>
      <c r="F608" s="203" t="s">
        <v>67</v>
      </c>
      <c r="G608" s="10">
        <f>E608*1.2</f>
        <v>405.59999999999997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VLOOKUP(K608,$A$681:$F$2272,6,FALSE)</f>
        <v>89</v>
      </c>
      <c r="O608" s="203" t="s">
        <v>67</v>
      </c>
      <c r="P608" s="10">
        <f>N608*1.2</f>
        <v>106.8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VLOOKUP(T608,$A$681:$F$2272,6,FALSE)</f>
        <v>271</v>
      </c>
      <c r="X608" s="203" t="s">
        <v>67</v>
      </c>
      <c r="Y608" s="10">
        <f>W608*1.2</f>
        <v>325.2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VLOOKUP(AC608,$A$681:$F$2272,6,FALSE)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VLOOKUP(AL608,$A$681:$F$2272,6,FALSE)</f>
        <v>271</v>
      </c>
      <c r="AP608" s="203" t="s">
        <v>67</v>
      </c>
      <c r="AQ608" s="10">
        <f>AO608*1.2</f>
        <v>325.2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VLOOKUP(AU608,$A$681:$F$2272,6,FALSE)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VLOOKUP(BD608,$A$681:$F$2272,6,FALSE)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VLOOKUP(BM608,$A$681:$F$2272,6,FALSE)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2072</v>
      </c>
      <c r="BX608" s="204"/>
      <c r="BY608" s="204">
        <f>VLOOKUP(BV608,$A$681:$F$2272,6,FALSE)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VLOOKUP(CE608,$A$681:$F$2272,6,FALSE)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VLOOKUP(CN608,$A$681:$F$2272,6,FALSE)</f>
        <v>271</v>
      </c>
      <c r="CR608" s="203" t="s">
        <v>67</v>
      </c>
      <c r="CS608" s="10">
        <f>CQ608*1.2</f>
        <v>325.2</v>
      </c>
      <c r="CT608" s="10"/>
      <c r="CU608" s="268"/>
      <c r="CV608" s="203" t="s">
        <v>73</v>
      </c>
      <c r="CW608" s="277" t="s">
        <v>2072</v>
      </c>
      <c r="CY608" s="204"/>
      <c r="CZ608" s="204">
        <f>VLOOKUP(CW608,$A$681:$F$2272,6,FALSE)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VLOOKUP(DF608,$A$681:$F$2272,6,FALSE)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VLOOKUP(DO608,$A$681:$F$2272,6,FALSE)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VLOOKUP(DX608,$A$681:$F$2272,6,FALSE)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2072</v>
      </c>
      <c r="EI608" s="204"/>
      <c r="EJ608" s="204">
        <f>VLOOKUP(EG608,$A$681:$F$2272,6,FALSE)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VLOOKUP(EP608,$A$681:$F$2272,6,FALSE)</f>
        <v>271</v>
      </c>
      <c r="ET608" s="203" t="s">
        <v>67</v>
      </c>
      <c r="EU608" s="10">
        <f>ES608*1.2</f>
        <v>325.2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VLOOKUP(EY608,$A$681:$F$2272,6,FALSE)</f>
        <v>89</v>
      </c>
      <c r="FC608" s="203" t="s">
        <v>67</v>
      </c>
      <c r="FD608" s="10">
        <f>FB608*1.2</f>
        <v>106.8</v>
      </c>
      <c r="FE608" s="10"/>
      <c r="FF608" s="268"/>
      <c r="FG608" s="203" t="s">
        <v>73</v>
      </c>
      <c r="FH608" s="422" t="s">
        <v>2072</v>
      </c>
      <c r="FJ608" s="204"/>
      <c r="FK608" s="204">
        <f>VLOOKUP(FH608,$A$681:$F$2272,6,FALSE)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VLOOKUP(FQ608,$A$681:$F$2272,6,FALSE)</f>
        <v>271</v>
      </c>
      <c r="FU608" s="203" t="s">
        <v>67</v>
      </c>
      <c r="FV608" s="10">
        <f>FT608*1.2</f>
        <v>325.2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VLOOKUP(FZ608,$A$681:$F$2272,6,FALSE)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VLOOKUP(GI608,$A$681:$F$2272,6,FALSE)</f>
        <v>271</v>
      </c>
      <c r="GM608" s="203" t="s">
        <v>67</v>
      </c>
      <c r="GN608" s="10">
        <f>GL608*1.2</f>
        <v>325.2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VLOOKUP(GR608,$A$681:$F$2272,6,FALSE)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VLOOKUP(HA608,$A$681:$F$2272,6,FALSE)</f>
        <v>89</v>
      </c>
      <c r="HE608" s="203" t="s">
        <v>67</v>
      </c>
      <c r="HF608" s="10">
        <f>HD608*1.2</f>
        <v>106.8</v>
      </c>
      <c r="HG608" s="10"/>
      <c r="HH608" s="268"/>
      <c r="HI608" s="203" t="s">
        <v>73</v>
      </c>
      <c r="HJ608" s="277" t="s">
        <v>2072</v>
      </c>
      <c r="HL608" s="204"/>
      <c r="HM608" s="204">
        <f>VLOOKUP(HJ608,$A$681:$F$2272,6,FALSE)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VLOOKUP(HS608,$A$681:$F$2272,6,FALSE)</f>
        <v>89</v>
      </c>
      <c r="HW608" s="203" t="s">
        <v>67</v>
      </c>
      <c r="HX608" s="10">
        <f>HV608*1.2</f>
        <v>106.8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VLOOKUP(IB608,$A$681:$F$2272,6,FALSE)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VLOOKUP(IK608,$A$681:$F$2272,6,FALSE)</f>
        <v>89</v>
      </c>
      <c r="IO608" s="203" t="s">
        <v>67</v>
      </c>
      <c r="IP608" s="10">
        <f>IN608*1.2</f>
        <v>106.8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VLOOKUP(IT608,$A$681:$F$2272,6,FALSE)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VLOOKUP(JC608,$A$681:$F$2272,6,FALSE)</f>
        <v>102</v>
      </c>
      <c r="JG608" s="203" t="s">
        <v>67</v>
      </c>
      <c r="JH608" s="10">
        <f>JF608*1.2</f>
        <v>122.39999999999999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VLOOKUP(JL608,$A$681:$F$2272,6,FALSE)</f>
        <v>34</v>
      </c>
      <c r="JP608" s="203" t="s">
        <v>67</v>
      </c>
      <c r="JQ608" s="10">
        <f>JO608*1.2</f>
        <v>40.799999999999997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VLOOKUP(JU608,$A$681:$F$2272,6,FALSE)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VLOOKUP(KD608,$A$681:$F$2272,6,FALSE)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VLOOKUP(KM608,$A$681:$F$2272,6,FALSE)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VLOOKUP(KV608,$A$681:$F$2272,6,FALSE)</f>
        <v>388</v>
      </c>
      <c r="KZ608" s="203" t="s">
        <v>67</v>
      </c>
      <c r="LA608" s="10">
        <f>KY608*1.2</f>
        <v>465.59999999999997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VLOOKUP(LE608,$A$681:$F$2272,6,FALSE)</f>
        <v>271</v>
      </c>
      <c r="LI608" s="203" t="s">
        <v>67</v>
      </c>
      <c r="LJ608" s="10">
        <f>LH608*1.2</f>
        <v>325.2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VLOOKUP(LN608,$A$681:$F$2272,6,FALSE)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VLOOKUP(LW608,$A$681:$F$2272,6,FALSE)</f>
        <v>89</v>
      </c>
      <c r="MA608" s="203" t="s">
        <v>67</v>
      </c>
      <c r="MB608" s="10">
        <f>LZ608*1.2</f>
        <v>106.8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VLOOKUP(MF608,$A$681:$F$2272,6,FALSE)</f>
        <v>388</v>
      </c>
      <c r="MJ608" s="203" t="s">
        <v>67</v>
      </c>
      <c r="MK608" s="10">
        <f>MI608*1.2</f>
        <v>465.59999999999997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VLOOKUP(MO608,$A$681:$F$2272,6,FALSE)</f>
        <v>271</v>
      </c>
      <c r="MS608" s="203" t="s">
        <v>67</v>
      </c>
      <c r="MT608" s="10">
        <f>MR608*1.2</f>
        <v>325.2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VLOOKUP(MX608,$A$681:$F$2272,6,FALSE)</f>
        <v>338</v>
      </c>
      <c r="NB608" s="203" t="s">
        <v>67</v>
      </c>
      <c r="NC608" s="10">
        <f>NA608*1.2</f>
        <v>405.59999999999997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VLOOKUP(NG608,$A$681:$F$2272,6,FALSE)</f>
        <v>71</v>
      </c>
      <c r="NK608" s="203" t="s">
        <v>67</v>
      </c>
      <c r="NL608" s="10">
        <f>NJ608*1.2</f>
        <v>85.2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VLOOKUP(NP608,$A$681:$F$2272,6,FALSE)</f>
        <v>89</v>
      </c>
      <c r="NT608" s="203" t="s">
        <v>67</v>
      </c>
      <c r="NU608" s="10">
        <f>NS608*1.2</f>
        <v>106.8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VLOOKUP(NY608,$A$681:$F$2272,6,FALSE)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2072</v>
      </c>
      <c r="OJ608" s="204"/>
      <c r="OK608" s="204">
        <f>VLOOKUP(OH608,$A$681:$F$2272,6,FALSE)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5" t="s">
        <v>2072</v>
      </c>
      <c r="OS608" s="204"/>
      <c r="OT608" s="204">
        <f>VLOOKUP(OQ608,$A$681:$F$2272,6,FALSE)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VLOOKUP(OZ608,$A$681:$F$2272,6,FALSE)</f>
        <v>89</v>
      </c>
      <c r="PD608" s="203" t="s">
        <v>67</v>
      </c>
      <c r="PE608" s="10">
        <f>PC608*1.2</f>
        <v>106.8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VLOOKUP(PI608,$A$681:$F$2272,6,FALSE)</f>
        <v>71</v>
      </c>
      <c r="PM608" s="203" t="s">
        <v>67</v>
      </c>
      <c r="PN608" s="10">
        <f>PL608*1.2</f>
        <v>85.2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VLOOKUP(PR608,$A$681:$F$2272,6,FALSE)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VLOOKUP(QA608,$A$681:$F$2272,6,FALSE)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VLOOKUP(QJ608,$A$681:$F$2272,6,FALSE)</f>
        <v>271</v>
      </c>
      <c r="QN608" s="203" t="s">
        <v>67</v>
      </c>
      <c r="QO608" s="10">
        <f>QM608*1.2</f>
        <v>325.2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VLOOKUP(QS608,$A$681:$F$2272,6,FALSE)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VLOOKUP(RB608,$A$681:$F$2272,6,FALSE)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VLOOKUP(RK608,$A$681:$F$2272,6,FALSE)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VLOOKUP(RT608,$A$681:$F$2272,6,FALSE)</f>
        <v>89</v>
      </c>
      <c r="RX608" s="203" t="s">
        <v>67</v>
      </c>
      <c r="RY608" s="10">
        <f>RW608*1.2</f>
        <v>106.8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VLOOKUP(SC608,$A$681:$F$2272,6,FALSE)</f>
        <v>338</v>
      </c>
      <c r="SG608" s="203" t="s">
        <v>67</v>
      </c>
      <c r="SH608" s="10">
        <f>SF608*1.2</f>
        <v>405.59999999999997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VLOOKUP(SL608,$A$681:$F$2272,6,FALSE)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VLOOKUP(SU608,$A$681:$F$2272,6,FALSE)</f>
        <v>271</v>
      </c>
      <c r="SY608" s="203" t="s">
        <v>67</v>
      </c>
      <c r="SZ608" s="10">
        <f>SX608*1.2</f>
        <v>325.2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VLOOKUP(TD608,$A$681:$F$2272,6,FALSE)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VLOOKUP(TM608,$A$681:$F$2272,6,FALSE)</f>
        <v>89</v>
      </c>
      <c r="TQ608" s="203" t="s">
        <v>67</v>
      </c>
      <c r="TR608" s="10">
        <f>TP608*1.2</f>
        <v>106.8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VLOOKUP(TV608,$A$681:$F$2272,6,FALSE)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VLOOKUP(UE608,$A$681:$F$2272,6,FALSE)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VLOOKUP(UN608,$A$681:$F$2272,6,FALSE)</f>
        <v>89</v>
      </c>
      <c r="UR608" s="203" t="s">
        <v>67</v>
      </c>
      <c r="US608" s="10">
        <f>UQ608*1.2</f>
        <v>106.8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VLOOKUP(UW608,$A$681:$F$2272,6,FALSE)</f>
        <v>102</v>
      </c>
      <c r="VA608" s="203" t="s">
        <v>67</v>
      </c>
      <c r="VB608" s="10">
        <f>UZ608*1.2</f>
        <v>122.39999999999999</v>
      </c>
      <c r="VC608" s="10"/>
      <c r="VD608" s="274"/>
      <c r="VE608" s="203" t="s">
        <v>73</v>
      </c>
      <c r="VF608" s="277" t="s">
        <v>2072</v>
      </c>
      <c r="VH608" s="204"/>
      <c r="VI608" s="204">
        <f>VLOOKUP(VF608,$A$681:$F$2272,6,FALSE)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VLOOKUP(VO608,$A$681:$F$2272,6,FALSE)</f>
        <v>102</v>
      </c>
      <c r="VS608" s="203" t="s">
        <v>67</v>
      </c>
      <c r="VT608" s="10">
        <f>VR608*1.2</f>
        <v>122.39999999999999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VLOOKUP(VX608,$A$681:$F$2272,6,FALSE)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VLOOKUP(WG608,$A$681:$F$2272,6,FALSE)</f>
        <v>128</v>
      </c>
      <c r="WK608" s="203" t="s">
        <v>67</v>
      </c>
      <c r="WL608" s="10">
        <f>WJ608*1.2</f>
        <v>153.6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VLOOKUP(WP608,$A$681:$F$2272,6,FALSE)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VLOOKUP(WY608,$A$681:$F$2272,6,FALSE)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VLOOKUP(XH608,$A$681:$F$2272,6,FALSE)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VLOOKUP(XQ608,$A$681:$F$2272,6,FALSE)</f>
        <v>271</v>
      </c>
      <c r="XU608" s="203" t="s">
        <v>67</v>
      </c>
      <c r="XV608" s="10">
        <f>XT608*1.2</f>
        <v>325.2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VLOOKUP(XZ608,$A$681:$F$2272,6,FALSE)</f>
        <v>34</v>
      </c>
      <c r="YD608" s="203" t="s">
        <v>67</v>
      </c>
      <c r="YE608" s="10">
        <f>YC608*1.2</f>
        <v>40.799999999999997</v>
      </c>
      <c r="YG608" s="274"/>
      <c r="YH608" s="203" t="s">
        <v>73</v>
      </c>
      <c r="YI608" s="279" t="s">
        <v>183</v>
      </c>
      <c r="YK608" s="204"/>
      <c r="YL608" s="204" t="e">
        <f>VLOOKUP(YI608,$A$681:$F$2272,6,FALSE)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VLOOKUP(YR608,$A$681:$F$2272,6,FALSE)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VLOOKUP(ZA608,$A$681:$F$2272,6,FALSE)</f>
        <v>271</v>
      </c>
      <c r="ZE608" s="203" t="s">
        <v>67</v>
      </c>
      <c r="ZF608" s="10">
        <f>ZD608*1.2</f>
        <v>325.2</v>
      </c>
      <c r="ZH608" s="274"/>
      <c r="ZI608" s="203" t="s">
        <v>73</v>
      </c>
      <c r="ZJ608" s="277" t="s">
        <v>566</v>
      </c>
      <c r="ZL608" s="204"/>
      <c r="ZM608" s="204">
        <f>VLOOKUP(ZJ608,$A$681:$F$2272,6,FALSE)</f>
        <v>271</v>
      </c>
      <c r="ZN608" s="203" t="s">
        <v>67</v>
      </c>
      <c r="ZO608" s="10">
        <f>ZM608*1.2</f>
        <v>325.2</v>
      </c>
      <c r="ZQ608" s="274"/>
      <c r="ZR608" s="203" t="s">
        <v>73</v>
      </c>
      <c r="ZS608" s="277" t="s">
        <v>517</v>
      </c>
      <c r="ZU608" s="204"/>
      <c r="ZV608" s="204">
        <f>VLOOKUP(ZS608,$A$681:$F$2272,6,FALSE)</f>
        <v>338</v>
      </c>
      <c r="ZW608" s="203" t="s">
        <v>67</v>
      </c>
      <c r="ZX608" s="10">
        <f>ZV608*1.2</f>
        <v>405.59999999999997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VLOOKUP(AAB608,$A$681:$F$2272,6,FALSE)</f>
        <v>338</v>
      </c>
      <c r="AAF608" s="203" t="s">
        <v>67</v>
      </c>
      <c r="AAG608" s="10">
        <f>AAE608*1.2</f>
        <v>405.59999999999997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VLOOKUP(AAK608,$A$681:$F$2272,6,FALSE)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VLOOKUP(AAT608,$A$681:$F$2272,6,FALSE)</f>
        <v>338</v>
      </c>
      <c r="AAX608" s="203" t="s">
        <v>67</v>
      </c>
      <c r="AAY608" s="10">
        <f>AAW608*1.2</f>
        <v>405.59999999999997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VLOOKUP(ABC608,$A$681:$F$2272,6,FALSE)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VLOOKUP(ABL608,$A$681:$F$2272,6,FALSE)</f>
        <v>34</v>
      </c>
      <c r="ABP608" s="203" t="s">
        <v>67</v>
      </c>
      <c r="ABQ608" s="10">
        <f>ABO608*1.2</f>
        <v>40.799999999999997</v>
      </c>
      <c r="ABR608" s="10"/>
      <c r="ABS608" s="274"/>
      <c r="ABT608" s="203" t="s">
        <v>73</v>
      </c>
      <c r="ABU608" s="277" t="s">
        <v>2072</v>
      </c>
      <c r="ABW608" s="204"/>
      <c r="ABX608" s="204">
        <f>VLOOKUP(ABU608,$A$681:$F$2272,6,FALSE)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VLOOKUP(ACD608,$A$681:$F$2272,6,FALSE)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VLOOKUP(ACM608,$A$681:$F$2272,6,FALSE)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VLOOKUP(ACV608,$A$681:$F$2272,6,FALSE)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VLOOKUP(ADE608,$A$681:$F$2272,6,FALSE)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VLOOKUP(ADN608,$A$681:$F$2272,6,FALSE)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VLOOKUP(ADW608,$A$681:$F$2272,6,FALSE)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VLOOKUP(AEF608,$A$681:$F$2272,6,FALSE)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VLOOKUP(AEO608,$A$681:$F$2272,6,FALSE)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VLOOKUP(AEX608,$A$681:$F$2272,6,FALSE)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VLOOKUP(AFG608,$A$681:$F$2272,6,FALSE)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VLOOKUP(AFP608,$A$681:$F$2272,6,FALSE)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VLOOKUP(AFY608,$A$681:$F$2272,6,FALSE)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VLOOKUP(AGH608,$A$681:$F$2272,6,FALSE)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VLOOKUP(AGQ608,$A$681:$F$2272,6,FALSE)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VLOOKUP(AGZ608,$A$681:$F$2272,6,FALSE)</f>
        <v>388</v>
      </c>
      <c r="AHD608" s="203" t="s">
        <v>67</v>
      </c>
      <c r="AHE608" s="10">
        <f>AHC608*1.2</f>
        <v>465.59999999999997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VLOOKUP(AHI608,$A$681:$F$2272,6,FALSE)</f>
        <v>388</v>
      </c>
      <c r="AHM608" s="203" t="s">
        <v>67</v>
      </c>
      <c r="AHN608" s="10">
        <f>AHL608*1.2</f>
        <v>465.59999999999997</v>
      </c>
      <c r="AHO608" s="10"/>
      <c r="AHP608" s="274"/>
      <c r="AHQ608" s="203" t="s">
        <v>73</v>
      </c>
      <c r="AHR608" s="277" t="s">
        <v>2072</v>
      </c>
      <c r="AHT608" s="204"/>
      <c r="AHU608" s="204">
        <f>VLOOKUP(AHR608,$A$681:$F$2272,6,FALSE)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VLOOKUP(AIA608,$A$681:$F$2272,6,FALSE)</f>
        <v>271</v>
      </c>
      <c r="AIE608" s="203" t="s">
        <v>67</v>
      </c>
      <c r="AIF608" s="10">
        <f>AID608*1.2</f>
        <v>325.2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VLOOKUP(AIJ608,$A$681:$F$2272,6,FALSE)</f>
        <v>338</v>
      </c>
      <c r="AIN608" s="203" t="s">
        <v>67</v>
      </c>
      <c r="AIO608" s="10">
        <f>AIM608*1.2</f>
        <v>405.59999999999997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VLOOKUP(AIS608,$A$681:$F$2272,6,FALSE)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VLOOKUP(AJB608,$A$681:$F$2272,6,FALSE)</f>
        <v>71</v>
      </c>
      <c r="AJF608" s="203" t="s">
        <v>67</v>
      </c>
      <c r="AJG608" s="10">
        <f>AJE608*1.2</f>
        <v>85.2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VLOOKUP(AJK608,$A$681:$F$2272,6,FALSE)</f>
        <v>338</v>
      </c>
      <c r="AJO608" s="203" t="s">
        <v>67</v>
      </c>
      <c r="AJP608" s="10">
        <f>AJN608*1.2</f>
        <v>405.59999999999997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VLOOKUP(AJT608,$A$681:$F$2272,6,FALSE)</f>
        <v>89</v>
      </c>
      <c r="AJX608" s="203" t="s">
        <v>67</v>
      </c>
      <c r="AJY608" s="10">
        <f>AJW608*1.2</f>
        <v>106.8</v>
      </c>
      <c r="AJZ608" s="10"/>
      <c r="AKA608" s="274"/>
      <c r="AKB608" s="203" t="s">
        <v>73</v>
      </c>
      <c r="AKC608" s="277" t="s">
        <v>2072</v>
      </c>
      <c r="AKE608" s="204"/>
      <c r="AKF608" s="204">
        <f>VLOOKUP(AKC608,$A$681:$F$2272,6,FALSE)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VLOOKUP(AKL608,$A$681:$F$2272,6,FALSE)</f>
        <v>338</v>
      </c>
      <c r="AKP608" s="203" t="s">
        <v>67</v>
      </c>
      <c r="AKQ608" s="10">
        <f>AKO608*1.2</f>
        <v>405.59999999999997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VLOOKUP(AKU608,$A$681:$F$2272,6,FALSE)</f>
        <v>271</v>
      </c>
      <c r="AKY608" s="203" t="s">
        <v>67</v>
      </c>
      <c r="AKZ608" s="10">
        <f>AKX608*1.2</f>
        <v>325.2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VLOOKUP(ALD608,$A$681:$F$2272,6,FALSE)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VLOOKUP(ALM608,$A$681:$F$2272,6,FALSE)</f>
        <v>89</v>
      </c>
      <c r="ALQ608" s="203" t="s">
        <v>67</v>
      </c>
      <c r="ALR608" s="10">
        <f>ALP608*1.2</f>
        <v>106.8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VLOOKUP(ALV608,$A$681:$F$2272,6,FALSE)</f>
        <v>89</v>
      </c>
      <c r="ALZ608" s="203" t="s">
        <v>67</v>
      </c>
      <c r="AMA608" s="10">
        <f>ALY608*1.2</f>
        <v>106.8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VLOOKUP(AME608,$A$681:$F$2272,6,FALSE)</f>
        <v>34</v>
      </c>
      <c r="AMI608" s="203" t="s">
        <v>67</v>
      </c>
      <c r="AMJ608" s="10">
        <f>AMH608*1.2</f>
        <v>40.799999999999997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VLOOKUP(AMN608,$A$681:$F$2272,6,FALSE)</f>
        <v>89</v>
      </c>
      <c r="AMR608" s="203" t="s">
        <v>67</v>
      </c>
      <c r="AMS608" s="10">
        <f>AMQ608*1.2</f>
        <v>106.8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VLOOKUP(AMW608,$A$681:$F$2272,6,FALSE)</f>
        <v>102</v>
      </c>
      <c r="ANA608" s="203" t="s">
        <v>67</v>
      </c>
      <c r="ANB608" s="10">
        <f>AMZ608*1.2</f>
        <v>122.39999999999999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VLOOKUP(ANF608,$A$681:$F$2272,6,FALSE)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VLOOKUP(ANO608,$A$681:$F$2272,6,FALSE)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VLOOKUP(ANX608,$A$681:$F$2272,6,FALSE)</f>
        <v>89</v>
      </c>
      <c r="AOB608" s="203" t="s">
        <v>67</v>
      </c>
      <c r="AOC608" s="10">
        <f>AOA608*1.2</f>
        <v>106.8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VLOOKUP(AOG608,$A$681:$F$2272,6,FALSE)</f>
        <v>89</v>
      </c>
      <c r="AOK608" s="203" t="s">
        <v>67</v>
      </c>
      <c r="AOL608" s="10">
        <f>AOJ608*1.2</f>
        <v>106.8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VLOOKUP(AOP608,$A$681:$F$2272,6,FALSE)</f>
        <v>89</v>
      </c>
      <c r="AOT608" s="203" t="s">
        <v>67</v>
      </c>
      <c r="AOU608" s="10">
        <f>AOS608*1.2</f>
        <v>106.8</v>
      </c>
      <c r="AOV608" s="10"/>
      <c r="AOW608" s="274"/>
      <c r="AOX608" s="203" t="s">
        <v>73</v>
      </c>
      <c r="AOY608" s="277" t="s">
        <v>2072</v>
      </c>
      <c r="APA608" s="204"/>
      <c r="APB608" s="204">
        <f>VLOOKUP(AOY608,$A$681:$F$2272,6,FALSE)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VLOOKUP(APH608,$A$681:$F$2272,6,FALSE)</f>
        <v>271</v>
      </c>
      <c r="APL608" s="203" t="s">
        <v>67</v>
      </c>
      <c r="APM608" s="10">
        <f>APK608*1.2</f>
        <v>325.2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VLOOKUP(APQ608,$A$681:$F$2272,6,FALSE)</f>
        <v>388</v>
      </c>
      <c r="APU608" s="203" t="s">
        <v>67</v>
      </c>
      <c r="APV608" s="10">
        <f>APT608*1.2</f>
        <v>465.59999999999997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VLOOKUP(APZ608,$A$681:$F$2272,6,FALSE)</f>
        <v>338</v>
      </c>
      <c r="AQD608" s="203" t="s">
        <v>67</v>
      </c>
      <c r="AQE608" s="10">
        <f>AQC608*1.2</f>
        <v>405.59999999999997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VLOOKUP(B609,$A$681:$F$2272,6,FALSE)</f>
        <v>89</v>
      </c>
      <c r="F609" s="203" t="s">
        <v>69</v>
      </c>
      <c r="G609" s="10">
        <f>E609*1.1</f>
        <v>97.9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VLOOKUP(K609,$A$681:$F$2272,6,FALSE)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VLOOKUP(T609,$A$681:$F$2272,6,FALSE)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VLOOKUP(AC609,$A$681:$F$2272,6,FALSE)</f>
        <v>102</v>
      </c>
      <c r="AG609" s="203" t="s">
        <v>69</v>
      </c>
      <c r="AH609" s="10">
        <f>AF609*1.1</f>
        <v>112.2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VLOOKUP(AL609,$A$681:$F$2272,6,FALSE)</f>
        <v>338</v>
      </c>
      <c r="AP609" s="203" t="s">
        <v>69</v>
      </c>
      <c r="AQ609" s="10">
        <f>AO609*1.1</f>
        <v>371.8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VLOOKUP(AU609,$A$681:$F$2272,6,FALSE)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VLOOKUP(BD609,$A$681:$F$2272,6,FALSE)</f>
        <v>89</v>
      </c>
      <c r="BH609" s="203" t="s">
        <v>69</v>
      </c>
      <c r="BI609" s="10">
        <f>BG609*1.1</f>
        <v>97.9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VLOOKUP(BM609,$A$681:$F$2272,6,FALSE)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VLOOKUP(BV609,$A$681:$F$2272,6,FALSE)</f>
        <v>89</v>
      </c>
      <c r="BZ609" s="203" t="s">
        <v>69</v>
      </c>
      <c r="CA609" s="10">
        <f>BY609*1.1</f>
        <v>97.9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VLOOKUP(CE609,$A$681:$F$2272,6,FALSE)</f>
        <v>271</v>
      </c>
      <c r="CI609" s="203" t="s">
        <v>69</v>
      </c>
      <c r="CJ609" s="10">
        <f>CH609*1.1</f>
        <v>298.10000000000002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VLOOKUP(CN609,$A$681:$F$2272,6,FALSE)</f>
        <v>89</v>
      </c>
      <c r="CR609" s="203" t="s">
        <v>69</v>
      </c>
      <c r="CS609" s="10">
        <f>CQ609*1.1</f>
        <v>97.9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VLOOKUP(CW609,$A$681:$F$2272,6,FALSE)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VLOOKUP(DF609,$A$681:$F$2272,6,FALSE)</f>
        <v>89</v>
      </c>
      <c r="DJ609" s="203" t="s">
        <v>69</v>
      </c>
      <c r="DK609" s="10">
        <f>DI609*1.1</f>
        <v>97.9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VLOOKUP(DO609,$A$681:$F$2272,6,FALSE)</f>
        <v>89</v>
      </c>
      <c r="DS609" s="203" t="s">
        <v>69</v>
      </c>
      <c r="DT609" s="10">
        <f>DR609*1.1</f>
        <v>97.9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VLOOKUP(DX609,$A$681:$F$2272,6,FALSE)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VLOOKUP(EG609,$A$681:$F$2272,6,FALSE)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VLOOKUP(EP609,$A$681:$F$2272,6,FALSE)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VLOOKUP(EY609,$A$681:$F$2272,6,FALSE)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VLOOKUP(FH609,$A$681:$F$2272,6,FALSE)</f>
        <v>89</v>
      </c>
      <c r="FL609" s="203" t="s">
        <v>69</v>
      </c>
      <c r="FM609" s="10">
        <f>FK609*1.1</f>
        <v>97.9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VLOOKUP(FQ609,$A$681:$F$2272,6,FALSE)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VLOOKUP(FZ609,$A$681:$F$2272,6,FALSE)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VLOOKUP(GI609,$A$681:$F$2272,6,FALSE)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VLOOKUP(GR609,$A$681:$F$2272,6,FALSE)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VLOOKUP(HA609,$A$681:$F$2272,6,FALSE)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VLOOKUP(HJ609,$A$681:$F$2272,6,FALSE)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VLOOKUP(HS609,$A$681:$F$2272,6,FALSE)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VLOOKUP(IB609,$A$681:$F$2272,6,FALSE)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VLOOKUP(IK609,$A$681:$F$2272,6,FALSE)</f>
        <v>271</v>
      </c>
      <c r="IO609" s="203" t="s">
        <v>69</v>
      </c>
      <c r="IP609" s="10">
        <f>IN609*1.1</f>
        <v>298.10000000000002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VLOOKUP(IT609,$A$681:$F$2272,6,FALSE)</f>
        <v>128</v>
      </c>
      <c r="IX609" s="203" t="s">
        <v>69</v>
      </c>
      <c r="IY609" s="10">
        <f>IW609*1.1</f>
        <v>140.80000000000001</v>
      </c>
      <c r="IZ609" s="10"/>
      <c r="JA609" s="268"/>
      <c r="JB609" s="203" t="s">
        <v>74</v>
      </c>
      <c r="JC609" s="277" t="s">
        <v>2072</v>
      </c>
      <c r="JE609" s="204"/>
      <c r="JF609" s="204">
        <f>VLOOKUP(JC609,$A$681:$F$2272,6,FALSE)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VLOOKUP(JL609,$A$681:$F$2272,6,FALSE)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VLOOKUP(JU609,$A$681:$F$2272,6,FALSE)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VLOOKUP(KD609,$A$681:$F$2272,6,FALSE)</f>
        <v>271</v>
      </c>
      <c r="KH609" s="203" t="s">
        <v>69</v>
      </c>
      <c r="KI609" s="10">
        <f>KG609*1.1</f>
        <v>298.10000000000002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VLOOKUP(KM609,$A$681:$F$2272,6,FALSE)</f>
        <v>271</v>
      </c>
      <c r="KQ609" s="203" t="s">
        <v>69</v>
      </c>
      <c r="KR609" s="10">
        <f>KP609*1.1</f>
        <v>298.10000000000002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VLOOKUP(KV609,$A$681:$F$2272,6,FALSE)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VLOOKUP(LE609,$A$681:$F$2272,6,FALSE)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VLOOKUP(LN609,$A$681:$F$2272,6,FALSE)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VLOOKUP(LW609,$A$681:$F$2272,6,FALSE)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2072</v>
      </c>
      <c r="MH609" s="204"/>
      <c r="MI609" s="204">
        <f>VLOOKUP(MF609,$A$681:$F$2272,6,FALSE)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VLOOKUP(MO609,$A$681:$F$2272,6,FALSE)</f>
        <v>338</v>
      </c>
      <c r="MS609" s="203" t="s">
        <v>69</v>
      </c>
      <c r="MT609" s="10">
        <f>MR609*1.1</f>
        <v>371.8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VLOOKUP(MX609,$A$681:$F$2272,6,FALSE)</f>
        <v>271</v>
      </c>
      <c r="NB609" s="203" t="s">
        <v>69</v>
      </c>
      <c r="NC609" s="10">
        <f>NA609*1.1</f>
        <v>298.10000000000002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VLOOKUP(NG609,$A$681:$F$2272,6,FALSE)</f>
        <v>89</v>
      </c>
      <c r="NK609" s="203" t="s">
        <v>69</v>
      </c>
      <c r="NL609" s="10">
        <f>NJ609*1.1</f>
        <v>97.9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VLOOKUP(NP609,$A$681:$F$2272,6,FALSE)</f>
        <v>128</v>
      </c>
      <c r="NT609" s="203" t="s">
        <v>69</v>
      </c>
      <c r="NU609" s="10">
        <f>NS609*1.1</f>
        <v>140.80000000000001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VLOOKUP(NY609,$A$681:$F$2272,6,FALSE)</f>
        <v>71</v>
      </c>
      <c r="OC609" s="203" t="s">
        <v>69</v>
      </c>
      <c r="OD609" s="10">
        <f>OB609*1.1</f>
        <v>78.100000000000009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VLOOKUP(OH609,$A$681:$F$2272,6,FALSE)</f>
        <v>271</v>
      </c>
      <c r="OL609" s="203" t="s">
        <v>69</v>
      </c>
      <c r="OM609" s="10">
        <f>OK609*1.1</f>
        <v>298.10000000000002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VLOOKUP(OQ609,$A$681:$F$2272,6,FALSE)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2072</v>
      </c>
      <c r="PB609" s="204"/>
      <c r="PC609" s="204">
        <f>VLOOKUP(OZ609,$A$681:$F$2272,6,FALSE)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VLOOKUP(PI609,$A$681:$F$2272,6,FALSE)</f>
        <v>271</v>
      </c>
      <c r="PM609" s="203" t="s">
        <v>69</v>
      </c>
      <c r="PN609" s="10">
        <f>PL609*1.1</f>
        <v>298.10000000000002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VLOOKUP(PR609,$A$681:$F$2272,6,FALSE)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VLOOKUP(QA609,$A$681:$F$2272,6,FALSE)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2072</v>
      </c>
      <c r="QL609" s="204"/>
      <c r="QM609" s="204">
        <f>VLOOKUP(QJ609,$A$681:$F$2272,6,FALSE)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VLOOKUP(QS609,$A$681:$F$2272,6,FALSE)</f>
        <v>271</v>
      </c>
      <c r="QW609" s="203" t="s">
        <v>69</v>
      </c>
      <c r="QX609" s="10">
        <f>QV609*1.1</f>
        <v>298.10000000000002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VLOOKUP(RB609,$A$681:$F$2272,6,FALSE)</f>
        <v>271</v>
      </c>
      <c r="RF609" s="203" t="s">
        <v>69</v>
      </c>
      <c r="RG609" s="10">
        <f>RE609*1.1</f>
        <v>298.10000000000002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VLOOKUP(RK609,$A$681:$F$2272,6,FALSE)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VLOOKUP(RT609,$A$681:$F$2272,6,FALSE)</f>
        <v>71</v>
      </c>
      <c r="RX609" s="203" t="s">
        <v>69</v>
      </c>
      <c r="RY609" s="10">
        <f>RW609*1.1</f>
        <v>78.100000000000009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VLOOKUP(SC609,$A$681:$F$2272,6,FALSE)</f>
        <v>71</v>
      </c>
      <c r="SG609" s="203" t="s">
        <v>69</v>
      </c>
      <c r="SH609" s="10">
        <f>SF609*1.1</f>
        <v>78.100000000000009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VLOOKUP(SL609,$A$681:$F$2272,6,FALSE)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VLOOKUP(SU609,$A$681:$F$2272,6,FALSE)</f>
        <v>89</v>
      </c>
      <c r="SY609" s="203" t="s">
        <v>69</v>
      </c>
      <c r="SZ609" s="10">
        <f>SX609*1.1</f>
        <v>97.9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VLOOKUP(TD609,$A$681:$F$2272,6,FALSE)</f>
        <v>89</v>
      </c>
      <c r="TH609" s="203" t="s">
        <v>69</v>
      </c>
      <c r="TI609" s="10">
        <f>TG609*1.1</f>
        <v>97.9</v>
      </c>
      <c r="TK609" s="274"/>
      <c r="TL609" s="203" t="s">
        <v>74</v>
      </c>
      <c r="TM609" s="277" t="s">
        <v>2072</v>
      </c>
      <c r="TO609" s="204"/>
      <c r="TP609" s="204">
        <f>VLOOKUP(TM609,$A$681:$F$2272,6,FALSE)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2072</v>
      </c>
      <c r="TX609" s="204"/>
      <c r="TY609" s="204">
        <f>VLOOKUP(TV609,$A$681:$F$2272,6,FALSE)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VLOOKUP(UE609,$A$681:$F$2272,6,FALSE)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2072</v>
      </c>
      <c r="UP609" s="204"/>
      <c r="UQ609" s="204">
        <f>VLOOKUP(UN609,$A$681:$F$2272,6,FALSE)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VLOOKUP(UW609,$A$681:$F$2272,6,FALSE)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VLOOKUP(VF609,$A$681:$F$2272,6,FALSE)</f>
        <v>338</v>
      </c>
      <c r="VJ609" s="203" t="s">
        <v>69</v>
      </c>
      <c r="VK609" s="10">
        <f>VI609*1.1</f>
        <v>371.8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VLOOKUP(VO609,$A$681:$F$2272,6,FALSE)</f>
        <v>34</v>
      </c>
      <c r="VS609" s="203" t="s">
        <v>69</v>
      </c>
      <c r="VT609" s="10">
        <f>VR609*1.1</f>
        <v>37.400000000000006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VLOOKUP(VX609,$A$681:$F$2272,6,FALSE)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VLOOKUP(WG609,$A$681:$F$2272,6,FALSE)</f>
        <v>388</v>
      </c>
      <c r="WK609" s="203" t="s">
        <v>69</v>
      </c>
      <c r="WL609" s="10">
        <f>WJ609*1.1</f>
        <v>426.8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VLOOKUP(WP609,$A$681:$F$2272,6,FALSE)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VLOOKUP(WY609,$A$681:$F$2272,6,FALSE)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VLOOKUP(XH609,$A$681:$F$2272,6,FALSE)</f>
        <v>89</v>
      </c>
      <c r="XL609" s="203" t="s">
        <v>69</v>
      </c>
      <c r="XM609" s="10">
        <f>XK609*1.1</f>
        <v>97.9</v>
      </c>
      <c r="XO609" s="274"/>
      <c r="XP609" s="203" t="s">
        <v>74</v>
      </c>
      <c r="XQ609" s="277" t="s">
        <v>822</v>
      </c>
      <c r="XS609" s="204"/>
      <c r="XT609" s="204">
        <f>VLOOKUP(XQ609,$A$681:$F$2272,6,FALSE)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VLOOKUP(XZ609,$A$681:$F$2272,6,FALSE)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VLOOKUP(YI609,$A$681:$F$2272,6,FALSE)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VLOOKUP(YR609,$A$681:$F$2272,6,FALSE)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VLOOKUP(ZA609,$A$681:$F$2272,6,FALSE)</f>
        <v>102</v>
      </c>
      <c r="ZE609" s="203" t="s">
        <v>69</v>
      </c>
      <c r="ZF609" s="10">
        <f>ZD609*1.1</f>
        <v>112.2</v>
      </c>
      <c r="ZH609" s="274"/>
      <c r="ZI609" s="203" t="s">
        <v>74</v>
      </c>
      <c r="ZJ609" s="277" t="s">
        <v>711</v>
      </c>
      <c r="ZL609" s="204"/>
      <c r="ZM609" s="204">
        <f>VLOOKUP(ZJ609,$A$681:$F$2272,6,FALSE)</f>
        <v>102</v>
      </c>
      <c r="ZN609" s="203" t="s">
        <v>69</v>
      </c>
      <c r="ZO609" s="10">
        <f>ZM609*1.1</f>
        <v>112.2</v>
      </c>
      <c r="ZQ609" s="274"/>
      <c r="ZR609" s="203" t="s">
        <v>74</v>
      </c>
      <c r="ZS609" s="277" t="s">
        <v>711</v>
      </c>
      <c r="ZU609" s="204"/>
      <c r="ZV609" s="204">
        <f>VLOOKUP(ZS609,$A$681:$F$2272,6,FALSE)</f>
        <v>102</v>
      </c>
      <c r="ZW609" s="203" t="s">
        <v>69</v>
      </c>
      <c r="ZX609" s="10">
        <f>ZV609*1.1</f>
        <v>112.2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VLOOKUP(AAB609,$A$681:$F$2272,6,FALSE)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VLOOKUP(AAK609,$A$681:$F$2272,6,FALSE)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2072</v>
      </c>
      <c r="AAV609" s="204"/>
      <c r="AAW609" s="204">
        <f>VLOOKUP(AAT609,$A$681:$F$2272,6,FALSE)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VLOOKUP(ABC609,$A$681:$F$2272,6,FALSE)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VLOOKUP(ABL609,$A$681:$F$2272,6,FALSE)</f>
        <v>89</v>
      </c>
      <c r="ABP609" s="203" t="s">
        <v>69</v>
      </c>
      <c r="ABQ609" s="10">
        <f>ABO609*1.1</f>
        <v>97.9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VLOOKUP(ABU609,$A$681:$F$2272,6,FALSE)</f>
        <v>338</v>
      </c>
      <c r="ABY609" s="203" t="s">
        <v>69</v>
      </c>
      <c r="ABZ609" s="10">
        <f>ABX609*1.1</f>
        <v>371.8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VLOOKUP(ACD609,$A$681:$F$2272,6,FALSE)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VLOOKUP(ACM609,$A$681:$F$2272,6,FALSE)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VLOOKUP(ACV609,$A$681:$F$2272,6,FALSE)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VLOOKUP(ADE609,$A$681:$F$2272,6,FALSE)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VLOOKUP(ADN609,$A$681:$F$2272,6,FALSE)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VLOOKUP(ADW609,$A$681:$F$2272,6,FALSE)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VLOOKUP(AEF609,$A$681:$F$2272,6,FALSE)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VLOOKUP(AEO609,$A$681:$F$2272,6,FALSE)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VLOOKUP(AEX609,$A$681:$F$2272,6,FALSE)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VLOOKUP(AFG609,$A$681:$F$2272,6,FALSE)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VLOOKUP(AFP609,$A$681:$F$2272,6,FALSE)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VLOOKUP(AFY609,$A$681:$F$2272,6,FALSE)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VLOOKUP(AGH609,$A$681:$F$2272,6,FALSE)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VLOOKUP(AGQ609,$A$681:$F$2272,6,FALSE)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VLOOKUP(AGZ609,$A$681:$F$2272,6,FALSE)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VLOOKUP(AHI609,$A$681:$F$2272,6,FALSE)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VLOOKUP(AHR609,$A$681:$F$2272,6,FALSE)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VLOOKUP(AIA609,$A$681:$F$2272,6,FALSE)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VLOOKUP(AIJ609,$A$681:$F$2272,6,FALSE)</f>
        <v>89</v>
      </c>
      <c r="AIN609" s="203" t="s">
        <v>69</v>
      </c>
      <c r="AIO609" s="10">
        <f>AIM609*1.1</f>
        <v>97.9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VLOOKUP(AIS609,$A$681:$F$2272,6,FALSE)</f>
        <v>388</v>
      </c>
      <c r="AIW609" s="203" t="s">
        <v>69</v>
      </c>
      <c r="AIX609" s="10">
        <f>AIV609*1.1</f>
        <v>426.8</v>
      </c>
      <c r="AIY609" s="10"/>
      <c r="AIZ609" s="274"/>
      <c r="AJA609" s="203" t="s">
        <v>74</v>
      </c>
      <c r="AJB609" s="277" t="s">
        <v>2072</v>
      </c>
      <c r="AJD609" s="204"/>
      <c r="AJE609" s="204">
        <f>VLOOKUP(AJB609,$A$681:$F$2272,6,FALSE)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VLOOKUP(AJK609,$A$681:$F$2272,6,FALSE)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VLOOKUP(AJT609,$A$681:$F$2272,6,FALSE)</f>
        <v>128</v>
      </c>
      <c r="AJX609" s="203" t="s">
        <v>69</v>
      </c>
      <c r="AJY609" s="10">
        <f>AJW609*1.1</f>
        <v>140.80000000000001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VLOOKUP(AKC609,$A$681:$F$2272,6,FALSE)</f>
        <v>271</v>
      </c>
      <c r="AKG609" s="203" t="s">
        <v>69</v>
      </c>
      <c r="AKH609" s="10">
        <f>AKF609*1.1</f>
        <v>298.10000000000002</v>
      </c>
      <c r="AKI609" s="10"/>
      <c r="AKJ609" s="274"/>
      <c r="AKK609" s="203" t="s">
        <v>74</v>
      </c>
      <c r="AKL609" s="277" t="s">
        <v>2072</v>
      </c>
      <c r="AKN609" s="204"/>
      <c r="AKO609" s="204">
        <f>VLOOKUP(AKL609,$A$681:$F$2272,6,FALSE)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VLOOKUP(AKU609,$A$681:$F$2272,6,FALSE)</f>
        <v>128</v>
      </c>
      <c r="AKY609" s="203" t="s">
        <v>69</v>
      </c>
      <c r="AKZ609" s="10">
        <f>AKX609*1.1</f>
        <v>140.80000000000001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VLOOKUP(ALD609,$A$681:$F$2272,6,FALSE)</f>
        <v>338</v>
      </c>
      <c r="ALH609" s="203" t="s">
        <v>69</v>
      </c>
      <c r="ALI609" s="10">
        <f>ALG609*1.1</f>
        <v>371.8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VLOOKUP(ALM609,$A$681:$F$2272,6,FALSE)</f>
        <v>102</v>
      </c>
      <c r="ALQ609" s="203" t="s">
        <v>69</v>
      </c>
      <c r="ALR609" s="10">
        <f>ALP609*1.1</f>
        <v>112.2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VLOOKUP(ALV609,$A$681:$F$2272,6,FALSE)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VLOOKUP(AME609,$A$681:$F$2272,6,FALSE)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VLOOKUP(AMN609,$A$681:$F$2272,6,FALSE)</f>
        <v>388</v>
      </c>
      <c r="AMR609" s="203" t="s">
        <v>69</v>
      </c>
      <c r="AMS609" s="10">
        <f>AMQ609*1.1</f>
        <v>426.8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VLOOKUP(AMW609,$A$681:$F$2272,6,FALSE)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VLOOKUP(ANF609,$A$681:$F$2272,6,FALSE)</f>
        <v>271</v>
      </c>
      <c r="ANJ609" s="203" t="s">
        <v>69</v>
      </c>
      <c r="ANK609" s="10">
        <f>ANI609*1.1</f>
        <v>298.10000000000002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VLOOKUP(ANO609,$A$681:$F$2272,6,FALSE)</f>
        <v>388</v>
      </c>
      <c r="ANS609" s="203" t="s">
        <v>69</v>
      </c>
      <c r="ANT609" s="10">
        <f>ANR609*1.1</f>
        <v>426.8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VLOOKUP(ANX609,$A$681:$F$2272,6,FALSE)</f>
        <v>34</v>
      </c>
      <c r="AOB609" s="203" t="s">
        <v>69</v>
      </c>
      <c r="AOC609" s="10">
        <f>AOA609*1.1</f>
        <v>37.400000000000006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VLOOKUP(AOG609,$A$681:$F$2272,6,FALSE)</f>
        <v>338</v>
      </c>
      <c r="AOK609" s="203" t="s">
        <v>69</v>
      </c>
      <c r="AOL609" s="10">
        <f>AOJ609*1.1</f>
        <v>371.8</v>
      </c>
      <c r="AOM609" s="10"/>
      <c r="AON609" s="274"/>
      <c r="AOO609" s="203" t="s">
        <v>74</v>
      </c>
      <c r="AOP609" s="277" t="s">
        <v>2072</v>
      </c>
      <c r="AOR609" s="204"/>
      <c r="AOS609" s="204">
        <f>VLOOKUP(AOP609,$A$681:$F$2272,6,FALSE)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VLOOKUP(AOY609,$A$681:$F$2272,6,FALSE)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2072</v>
      </c>
      <c r="APJ609" s="204"/>
      <c r="APK609" s="204">
        <f>VLOOKUP(APH609,$A$681:$F$2272,6,FALSE)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VLOOKUP(APQ609,$A$681:$F$2272,6,FALSE)</f>
        <v>271</v>
      </c>
      <c r="APU609" s="203" t="s">
        <v>69</v>
      </c>
      <c r="APV609" s="10">
        <f>APT609*1.1</f>
        <v>298.10000000000002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VLOOKUP(APZ609,$A$681:$F$2272,6,FALSE)</f>
        <v>89</v>
      </c>
      <c r="AQD609" s="203" t="s">
        <v>69</v>
      </c>
      <c r="AQE609" s="10">
        <f>AQC609*1.1</f>
        <v>97.9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1121.1000000000001</v>
      </c>
      <c r="I610" s="268"/>
      <c r="J610" s="203"/>
      <c r="K610" s="415"/>
      <c r="M610" s="203"/>
      <c r="N610" s="203"/>
      <c r="O610" s="203"/>
      <c r="P610" s="10"/>
      <c r="Q610" s="10">
        <f>SUM(P605:P609)</f>
        <v>855.2</v>
      </c>
      <c r="R610" s="268"/>
      <c r="S610" s="203"/>
      <c r="T610" s="265"/>
      <c r="V610" s="203"/>
      <c r="W610" s="203"/>
      <c r="X610" s="203"/>
      <c r="Y610" s="10"/>
      <c r="Z610" s="10">
        <f>SUM(Y605:Y609)</f>
        <v>985.90000000000009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910.7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1434.3999999999999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1181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1633.1000000000004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1154.8000000000002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1293.2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1147.0999999999999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553.20000000000005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1274.7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1190.1000000000001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1267.1000000000001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1331.6000000000001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1132.9000000000001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600.9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1283.8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1490.4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852.5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1389.3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1092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1062.5999999999999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1299.6000000000001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1493.2999999999997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1568.6999999999998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691.5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828.1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317.7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1549.7999999999997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1005.8000000000001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1410.7000000000003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1945.5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1456.6000000000001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1135.3000000000002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1341.9999999999998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1651.4999999999998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1878.8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1467.4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324.60000000000002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896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217.3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1525.6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669.90000000000009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1208.3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1103.8000000000002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1157.3000000000002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1416.4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1405.4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1917.6999999999998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1658.3999999999999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1608.6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752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1478.3000000000002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1318.4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662.3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1262.1000000000001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848.5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1184.4000000000001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634.6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331.9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855.09999999999991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1201.1000000000001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481.59999999999997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1193.9000000000001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1175.7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1596.3000000000002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961.7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823.4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826.9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1123.3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291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640.6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1893.7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704.3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806.80000000000007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958.09999999999991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1358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1643.7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1172.9000000000001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1517.6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1186.6999999999998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1484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1530.5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1059.5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1241.5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1170.5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1308.5999999999999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996.6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1464.2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1108.1000000000001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1982.7000000000003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1559.3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1264.5000000000002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2010.4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1192.1999999999998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1280.9000000000001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1569.6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1360.6999999999998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1363.9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VLOOKUP(B611,$A$681:$F$2272,6,FALSE)</f>
        <v>219</v>
      </c>
      <c r="F611" s="203" t="s">
        <v>61</v>
      </c>
      <c r="G611" s="10">
        <f>E611*1.5</f>
        <v>328.5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VLOOKUP(K611,$A$681:$F$2272,6,FALSE)</f>
        <v>236</v>
      </c>
      <c r="O611" s="203" t="s">
        <v>61</v>
      </c>
      <c r="P611" s="10">
        <f>N611*1.5*M611</f>
        <v>354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VLOOKUP(T611,$A$681:$F$2272,6,FALSE)</f>
        <v>236</v>
      </c>
      <c r="X611" s="203" t="s">
        <v>61</v>
      </c>
      <c r="Y611" s="10">
        <f>W611*1.5*V611</f>
        <v>354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VLOOKUP(AC611,$A$681:$F$2272,6,FALSE)</f>
        <v>14</v>
      </c>
      <c r="AG611" s="203" t="s">
        <v>61</v>
      </c>
      <c r="AH611" s="10">
        <f>AF611*1.5*AE611</f>
        <v>21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VLOOKUP(AL611,$A$681:$F$2272,6,FALSE)</f>
        <v>14</v>
      </c>
      <c r="AP611" s="203" t="s">
        <v>61</v>
      </c>
      <c r="AQ611" s="10">
        <f>AO611*1.5*AN611</f>
        <v>21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VLOOKUP(AU611,$A$681:$F$2272,6,FALSE)</f>
        <v>236</v>
      </c>
      <c r="AY611" s="203" t="s">
        <v>61</v>
      </c>
      <c r="AZ611" s="10">
        <f>AX611*1.5*AW611</f>
        <v>354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VLOOKUP(BD611,$A$681:$F$2272,6,FALSE)</f>
        <v>236</v>
      </c>
      <c r="BH611" s="203" t="s">
        <v>61</v>
      </c>
      <c r="BI611" s="10">
        <f>BG611*1.5*BF611</f>
        <v>354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VLOOKUP(BM611,$A$681:$F$2272,6,FALSE)</f>
        <v>14</v>
      </c>
      <c r="BQ611" s="203" t="s">
        <v>61</v>
      </c>
      <c r="BR611" s="10">
        <f>BP611*1.5*BO611</f>
        <v>21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VLOOKUP(BV611,$A$681:$F$2272,6,FALSE)</f>
        <v>14</v>
      </c>
      <c r="BZ611" s="203" t="s">
        <v>61</v>
      </c>
      <c r="CA611" s="10">
        <f>BY611*1.5*BX611</f>
        <v>21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VLOOKUP(CE611,$A$681:$F$2272,6,FALSE)</f>
        <v>14</v>
      </c>
      <c r="CI611" s="203" t="s">
        <v>61</v>
      </c>
      <c r="CJ611" s="10">
        <f>CH611*1.5*CG611</f>
        <v>21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VLOOKUP(CN611,$A$681:$F$2272,6,FALSE)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VLOOKUP(CW611,$A$681:$F$2272,6,FALSE)</f>
        <v>14</v>
      </c>
      <c r="DA611" s="203" t="s">
        <v>61</v>
      </c>
      <c r="DB611" s="10">
        <f>CZ611*1.5*CY611</f>
        <v>21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VLOOKUP(DF611,$A$681:$F$2272,6,FALSE)</f>
        <v>14</v>
      </c>
      <c r="DJ611" s="203" t="s">
        <v>61</v>
      </c>
      <c r="DK611" s="10">
        <f>DI611*1.5*DH611</f>
        <v>21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VLOOKUP(DO611,$A$681:$F$2272,6,FALSE)</f>
        <v>219</v>
      </c>
      <c r="DS611" s="203" t="s">
        <v>61</v>
      </c>
      <c r="DT611" s="10">
        <f>DR611*1.5*DQ611</f>
        <v>328.5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VLOOKUP(DX611,$A$681:$F$2272,6,FALSE)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VLOOKUP(EG611,$A$681:$F$2272,6,FALSE)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7" t="s">
        <v>1247</v>
      </c>
      <c r="EQ611" s="416" t="s">
        <v>2023</v>
      </c>
      <c r="ER611" s="284">
        <f>IF(EQ611="Kopman",1.3,1)</f>
        <v>1.3</v>
      </c>
      <c r="ES611" s="204">
        <f>VLOOKUP(EP611,$A$681:$F$2272,6,FALSE)</f>
        <v>14</v>
      </c>
      <c r="ET611" s="203" t="s">
        <v>61</v>
      </c>
      <c r="EU611" s="10">
        <f>ES611*1.5*ER611</f>
        <v>27.3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VLOOKUP(EY611,$A$681:$F$2272,6,FALSE)</f>
        <v>167</v>
      </c>
      <c r="FC611" s="203" t="s">
        <v>61</v>
      </c>
      <c r="FD611" s="10">
        <f>FB611*1.5*FA611</f>
        <v>250.5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VLOOKUP(FH611,$A$681:$F$2272,6,FALSE)</f>
        <v>236</v>
      </c>
      <c r="FL611" s="203" t="s">
        <v>61</v>
      </c>
      <c r="FM611" s="10">
        <f>FK611*1.5*FJ611</f>
        <v>354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VLOOKUP(FQ611,$A$681:$F$2272,6,FALSE)</f>
        <v>130</v>
      </c>
      <c r="FU611" s="203" t="s">
        <v>61</v>
      </c>
      <c r="FV611" s="10">
        <f>FT611*1.5*FS611</f>
        <v>195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VLOOKUP(FZ611,$A$681:$F$2272,6,FALSE)</f>
        <v>14</v>
      </c>
      <c r="GD611" s="203" t="s">
        <v>61</v>
      </c>
      <c r="GE611" s="10">
        <f>GC611*1.5*GB611</f>
        <v>21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VLOOKUP(GI611,$A$681:$F$2272,6,FALSE)</f>
        <v>14</v>
      </c>
      <c r="GM611" s="203" t="s">
        <v>61</v>
      </c>
      <c r="GN611" s="10">
        <f>GL611*1.5*GK611</f>
        <v>21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VLOOKUP(GR611,$A$681:$F$2272,6,FALSE)</f>
        <v>236</v>
      </c>
      <c r="GV611" s="203" t="s">
        <v>61</v>
      </c>
      <c r="GW611" s="10">
        <f>GU611*1.5</f>
        <v>354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VLOOKUP(HA611,$A$681:$F$2272,6,FALSE)</f>
        <v>219</v>
      </c>
      <c r="HE611" s="203" t="s">
        <v>61</v>
      </c>
      <c r="HF611" s="10">
        <f>HD611*1.5*HC611</f>
        <v>328.5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VLOOKUP(HJ611,$A$681:$F$2272,6,FALSE)</f>
        <v>236</v>
      </c>
      <c r="HN611" s="203" t="s">
        <v>61</v>
      </c>
      <c r="HO611" s="10">
        <f>HM611*1.5</f>
        <v>354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VLOOKUP(HS611,$A$681:$F$2272,6,FALSE)</f>
        <v>130</v>
      </c>
      <c r="HW611" s="203" t="s">
        <v>61</v>
      </c>
      <c r="HX611" s="10">
        <f>HV611*1.5*HU611</f>
        <v>195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VLOOKUP(IB611,$A$681:$F$2272,6,FALSE)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VLOOKUP(IK611,$A$681:$F$2272,6,FALSE)</f>
        <v>236</v>
      </c>
      <c r="IO611" s="203" t="s">
        <v>61</v>
      </c>
      <c r="IP611" s="10">
        <f>IN611*1.5*IM611</f>
        <v>354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VLOOKUP(IT611,$A$681:$F$2272,6,FALSE)</f>
        <v>185</v>
      </c>
      <c r="IX611" s="203" t="s">
        <v>61</v>
      </c>
      <c r="IY611" s="10">
        <f>IW611*1.5*IV611</f>
        <v>277.5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VLOOKUP(JC611,$A$681:$F$2272,6,FALSE)</f>
        <v>219</v>
      </c>
      <c r="JG611" s="203" t="s">
        <v>61</v>
      </c>
      <c r="JH611" s="10">
        <f>JF611*1.5*JE611</f>
        <v>328.5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VLOOKUP(JL611,$A$681:$F$2272,6,FALSE)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VLOOKUP(JU611,$A$681:$F$2272,6,FALSE)</f>
        <v>143</v>
      </c>
      <c r="JY611" s="203" t="s">
        <v>61</v>
      </c>
      <c r="JZ611" s="10">
        <f>JX611*1.5*JW611</f>
        <v>214.5</v>
      </c>
      <c r="KA611" s="10"/>
      <c r="KB611" s="268"/>
      <c r="KC611" s="203" t="s">
        <v>75</v>
      </c>
      <c r="KD611" s="277" t="s">
        <v>2293</v>
      </c>
      <c r="KF611" s="284">
        <f>IF(KE611="Kopman",1.3,1)</f>
        <v>1</v>
      </c>
      <c r="KG611" s="204">
        <f>VLOOKUP(KD611,$A$681:$F$2272,6,FALSE)</f>
        <v>257</v>
      </c>
      <c r="KH611" s="203" t="s">
        <v>61</v>
      </c>
      <c r="KI611" s="10">
        <f>KG611*1.5*KF611</f>
        <v>385.5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VLOOKUP(KM611,$A$681:$F$2272,6,FALSE)</f>
        <v>130</v>
      </c>
      <c r="KQ611" s="203" t="s">
        <v>61</v>
      </c>
      <c r="KR611" s="10">
        <f>KP611*1.5</f>
        <v>195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VLOOKUP(KV611,$A$681:$F$2272,6,FALSE)</f>
        <v>236</v>
      </c>
      <c r="KZ611" s="203" t="s">
        <v>61</v>
      </c>
      <c r="LA611" s="10">
        <f>KY611*1.5*KX611</f>
        <v>354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VLOOKUP(LE611,$A$681:$F$2272,6,FALSE)</f>
        <v>236</v>
      </c>
      <c r="LI611" s="203" t="s">
        <v>61</v>
      </c>
      <c r="LJ611" s="10">
        <f>LH611*1.5*LG611</f>
        <v>354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VLOOKUP(LN611,$A$681:$F$2272,6,FALSE)</f>
        <v>14</v>
      </c>
      <c r="LR611" s="203" t="s">
        <v>61</v>
      </c>
      <c r="LS611" s="10">
        <f>LQ611*1.5*LP611</f>
        <v>21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VLOOKUP(LW611,$A$681:$F$2272,6,FALSE)</f>
        <v>143</v>
      </c>
      <c r="MA611" s="203" t="s">
        <v>61</v>
      </c>
      <c r="MB611" s="10">
        <f>LZ611*1.5*LY611</f>
        <v>214.5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VLOOKUP(MF611,$A$681:$F$2272,6,FALSE)</f>
        <v>236</v>
      </c>
      <c r="MJ611" s="203" t="s">
        <v>61</v>
      </c>
      <c r="MK611" s="10">
        <f>MI611*1.5*MH611</f>
        <v>354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VLOOKUP(MO611,$A$681:$F$2272,6,FALSE)</f>
        <v>236</v>
      </c>
      <c r="MS611" s="203" t="s">
        <v>61</v>
      </c>
      <c r="MT611" s="10">
        <f>MR611*1.5*MQ611</f>
        <v>354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VLOOKUP(MX611,$A$681:$F$2272,6,FALSE)</f>
        <v>130</v>
      </c>
      <c r="NB611" s="203" t="s">
        <v>61</v>
      </c>
      <c r="NC611" s="10">
        <f>NA611*1.5*MZ611</f>
        <v>195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VLOOKUP(NG611,$A$681:$F$2272,6,FALSE)</f>
        <v>236</v>
      </c>
      <c r="NK611" s="203" t="s">
        <v>61</v>
      </c>
      <c r="NL611" s="10">
        <f>NJ611*1.5*NI611</f>
        <v>354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VLOOKUP(NP611,$A$681:$F$2272,6,FALSE)</f>
        <v>32</v>
      </c>
      <c r="NT611" s="203" t="s">
        <v>61</v>
      </c>
      <c r="NU611" s="10">
        <f>NS611*1.5*NR611</f>
        <v>48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VLOOKUP(NY611,$A$681:$F$2272,6,FALSE)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VLOOKUP(OH611,$A$681:$F$2272,6,FALSE)</f>
        <v>130</v>
      </c>
      <c r="OL611" s="203" t="s">
        <v>61</v>
      </c>
      <c r="OM611" s="10">
        <f>OK611*1.5*OJ611</f>
        <v>195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VLOOKUP(OQ611,$A$681:$F$2272,6,FALSE)</f>
        <v>3</v>
      </c>
      <c r="OU611" s="203" t="s">
        <v>61</v>
      </c>
      <c r="OV611" s="10">
        <f>OT611*1.5*OS611</f>
        <v>4.5</v>
      </c>
      <c r="OW611" s="10"/>
      <c r="OX611" s="268"/>
      <c r="OY611" s="203" t="s">
        <v>75</v>
      </c>
      <c r="OZ611" s="429" t="s">
        <v>2293</v>
      </c>
      <c r="PB611" s="284">
        <f>IF(PA611="Kopman",1.3,1)</f>
        <v>1</v>
      </c>
      <c r="PC611" s="204">
        <f>VLOOKUP(OZ611,$A$681:$F$2272,6,FALSE)</f>
        <v>257</v>
      </c>
      <c r="PD611" s="203" t="s">
        <v>61</v>
      </c>
      <c r="PE611" s="10">
        <f>PC611*1.5*PB611</f>
        <v>385.5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VLOOKUP(PI611,$A$681:$F$2272,6,FALSE)</f>
        <v>14</v>
      </c>
      <c r="PM611" s="203" t="s">
        <v>61</v>
      </c>
      <c r="PN611" s="10">
        <f>PL611*1.5*PK611</f>
        <v>21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VLOOKUP(PR611,$A$681:$F$2272,6,FALSE)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VLOOKUP(QA611,$A$681:$F$2272,6,FALSE)</f>
        <v>236</v>
      </c>
      <c r="QE611" s="203" t="s">
        <v>61</v>
      </c>
      <c r="QF611" s="10">
        <f>QD611*1.5*QC611</f>
        <v>354</v>
      </c>
      <c r="QG611" s="10"/>
      <c r="QH611" s="268"/>
      <c r="QI611" s="203" t="s">
        <v>75</v>
      </c>
      <c r="QJ611" s="417" t="s">
        <v>1247</v>
      </c>
      <c r="QK611" s="416" t="s">
        <v>2023</v>
      </c>
      <c r="QL611" s="284">
        <f>IF(QK611="Kopman",1.3,1)</f>
        <v>1.3</v>
      </c>
      <c r="QM611" s="204">
        <f>VLOOKUP(QJ611,$A$681:$F$2272,6,FALSE)</f>
        <v>14</v>
      </c>
      <c r="QN611" s="203" t="s">
        <v>61</v>
      </c>
      <c r="QO611" s="10">
        <f>QM611*1.5*QL611</f>
        <v>27.3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VLOOKUP(QS611,$A$681:$F$2272,6,FALSE)</f>
        <v>236</v>
      </c>
      <c r="QW611" s="203" t="s">
        <v>61</v>
      </c>
      <c r="QX611" s="10">
        <f>QV611*1.5*QU611</f>
        <v>354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VLOOKUP(RB611,$A$681:$F$2272,6,FALSE)</f>
        <v>236</v>
      </c>
      <c r="RF611" s="203" t="s">
        <v>61</v>
      </c>
      <c r="RG611" s="10">
        <f>RE611*1.5*RD611</f>
        <v>354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VLOOKUP(RK611,$A$681:$F$2272,6,FALSE)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VLOOKUP(RT611,$A$681:$F$2272,6,FALSE)</f>
        <v>14</v>
      </c>
      <c r="RX611" s="203" t="s">
        <v>61</v>
      </c>
      <c r="RY611" s="10">
        <f>RW611*1.5*RV611</f>
        <v>21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VLOOKUP(SC611,$A$681:$F$2272,6,FALSE)</f>
        <v>14</v>
      </c>
      <c r="SG611" s="203" t="s">
        <v>61</v>
      </c>
      <c r="SH611" s="10">
        <f>SF611*1.5*SE611</f>
        <v>21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VLOOKUP(SL611,$A$681:$F$2272,6,FALSE)</f>
        <v>14</v>
      </c>
      <c r="SP611" s="203" t="s">
        <v>61</v>
      </c>
      <c r="SQ611" s="10">
        <f>SO611*1.5*SN611</f>
        <v>21</v>
      </c>
      <c r="SR611" s="10"/>
      <c r="SS611" s="274"/>
      <c r="ST611" s="203" t="s">
        <v>75</v>
      </c>
      <c r="SU611" s="417" t="s">
        <v>447</v>
      </c>
      <c r="SV611" s="416" t="s">
        <v>2023</v>
      </c>
      <c r="SW611" s="284">
        <f>IF(SV611="Kopman",1.3,1)</f>
        <v>1.3</v>
      </c>
      <c r="SX611" s="204">
        <f>VLOOKUP(SU611,$A$681:$F$2272,6,FALSE)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VLOOKUP(TD611,$A$681:$F$2272,6,FALSE)</f>
        <v>167</v>
      </c>
      <c r="TH611" s="203" t="s">
        <v>61</v>
      </c>
      <c r="TI611" s="10">
        <f>TG611*1.5</f>
        <v>250.5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VLOOKUP(TM611,$A$681:$F$2272,6,FALSE)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VLOOKUP(TV611,$A$681:$F$2272,6,FALSE)</f>
        <v>219</v>
      </c>
      <c r="TZ611" s="203" t="s">
        <v>61</v>
      </c>
      <c r="UA611" s="10">
        <f>TY611*1.5*TX611</f>
        <v>328.5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VLOOKUP(UE611,$A$681:$F$2272,6,FALSE)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VLOOKUP(UN611,$A$681:$F$2272,6,FALSE)</f>
        <v>14</v>
      </c>
      <c r="UR611" s="203" t="s">
        <v>61</v>
      </c>
      <c r="US611" s="10">
        <f>UQ611*1.5*UP611</f>
        <v>21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VLOOKUP(UW611,$A$681:$F$2272,6,FALSE)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2293</v>
      </c>
      <c r="VH611" s="284">
        <f>IF(VG611="Kopman",1.3,1)</f>
        <v>1</v>
      </c>
      <c r="VI611" s="204">
        <f>VLOOKUP(VF611,$A$681:$F$2272,6,FALSE)</f>
        <v>257</v>
      </c>
      <c r="VJ611" s="203" t="s">
        <v>61</v>
      </c>
      <c r="VK611" s="10">
        <f>VI611*1.5*VH611</f>
        <v>385.5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VLOOKUP(VO611,$A$681:$F$2272,6,FALSE)</f>
        <v>143</v>
      </c>
      <c r="VS611" s="203" t="s">
        <v>61</v>
      </c>
      <c r="VT611" s="10">
        <f>VR611*1.5*VQ611</f>
        <v>214.5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VLOOKUP(VX611,$A$681:$F$2272,6,FALSE)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VLOOKUP(WG611,$A$681:$F$2272,6,FALSE)</f>
        <v>219</v>
      </c>
      <c r="WK611" s="203" t="s">
        <v>61</v>
      </c>
      <c r="WL611" s="10">
        <f>WJ611*1.5</f>
        <v>328.5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VLOOKUP(WP611,$A$681:$F$2272,6,FALSE)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VLOOKUP(WY611,$A$681:$F$2272,6,FALSE)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VLOOKUP(XH611,$A$681:$F$2272,6,FALSE)</f>
        <v>143</v>
      </c>
      <c r="XL611" s="203" t="s">
        <v>61</v>
      </c>
      <c r="XM611" s="10">
        <f>XK611*1.5</f>
        <v>214.5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VLOOKUP(XQ611,$A$681:$F$2272,6,FALSE)</f>
        <v>14</v>
      </c>
      <c r="XU611" s="203" t="s">
        <v>61</v>
      </c>
      <c r="XV611" s="10">
        <f>XT611*1.5*XS611</f>
        <v>21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VLOOKUP(XZ611,$A$681:$F$2272,6,FALSE)</f>
        <v>219</v>
      </c>
      <c r="YD611" s="203" t="s">
        <v>61</v>
      </c>
      <c r="YE611" s="10">
        <f>YC611*1.5</f>
        <v>328.5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VLOOKUP(YI611,$A$681:$F$2272,6,FALSE)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VLOOKUP(YR611,$A$681:$F$2272,6,FALSE)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VLOOKUP(ZA611,$A$681:$F$2272,6,FALSE)</f>
        <v>14</v>
      </c>
      <c r="ZE611" s="203" t="s">
        <v>61</v>
      </c>
      <c r="ZF611" s="10">
        <f>ZD611*1.5</f>
        <v>21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VLOOKUP(ZJ611,$A$681:$F$2272,6,FALSE)</f>
        <v>236</v>
      </c>
      <c r="ZN611" s="203" t="s">
        <v>61</v>
      </c>
      <c r="ZO611" s="10">
        <f>ZM611*1.5</f>
        <v>354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VLOOKUP(ZS611,$A$681:$F$2272,6,FALSE)</f>
        <v>236</v>
      </c>
      <c r="ZW611" s="203" t="s">
        <v>61</v>
      </c>
      <c r="ZX611" s="10">
        <f>ZV611*1.5*ZU611</f>
        <v>354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VLOOKUP(AAB611,$A$681:$F$2272,6,FALSE)</f>
        <v>3</v>
      </c>
      <c r="AAF611" s="203" t="s">
        <v>61</v>
      </c>
      <c r="AAG611" s="10">
        <f>AAE611*1.5*AAD611</f>
        <v>4.5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VLOOKUP(AAK611,$A$681:$F$2272,6,FALSE)</f>
        <v>130</v>
      </c>
      <c r="AAO611" s="203" t="s">
        <v>61</v>
      </c>
      <c r="AAP611" s="10">
        <f>AAN611*1.5*AAM611</f>
        <v>195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VLOOKUP(AAT611,$A$681:$F$2272,6,FALSE)</f>
        <v>219</v>
      </c>
      <c r="AAX611" s="203" t="s">
        <v>61</v>
      </c>
      <c r="AAY611" s="10">
        <f>AAW611*1.5*AAV611</f>
        <v>328.5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VLOOKUP(ABC611,$A$681:$F$2272,6,FALSE)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VLOOKUP(ABL611,$A$681:$F$2272,6,FALSE)</f>
        <v>197</v>
      </c>
      <c r="ABP611" s="203" t="s">
        <v>61</v>
      </c>
      <c r="ABQ611" s="10">
        <f>ABO611*1.5*ABN611</f>
        <v>295.5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VLOOKUP(ABU611,$A$681:$F$2272,6,FALSE)</f>
        <v>14</v>
      </c>
      <c r="ABY611" s="203" t="s">
        <v>61</v>
      </c>
      <c r="ABZ611" s="10">
        <f>ABX611*1.5*ABW611</f>
        <v>21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VLOOKUP(ACD611,$A$681:$F$2272,6,FALSE)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VLOOKUP(ACM611,$A$681:$F$2272,6,FALSE)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VLOOKUP(ACV611,$A$681:$F$2272,6,FALSE)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VLOOKUP(ADE611,$A$681:$F$2272,6,FALSE)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VLOOKUP(ADN611,$A$681:$F$2272,6,FALSE)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VLOOKUP(ADW611,$A$681:$F$2272,6,FALSE)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VLOOKUP(AEF611,$A$681:$F$2272,6,FALSE)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VLOOKUP(AEO611,$A$681:$F$2272,6,FALSE)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VLOOKUP(AEX611,$A$681:$F$2272,6,FALSE)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VLOOKUP(AFG611,$A$681:$F$2272,6,FALSE)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VLOOKUP(AFP611,$A$681:$F$2272,6,FALSE)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VLOOKUP(AFY611,$A$681:$F$2272,6,FALSE)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VLOOKUP(AGH611,$A$681:$F$2272,6,FALSE)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VLOOKUP(AGQ611,$A$681:$F$2272,6,FALSE)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VLOOKUP(AGZ611,$A$681:$F$2272,6,FALSE)</f>
        <v>143</v>
      </c>
      <c r="AHD611" s="203" t="s">
        <v>61</v>
      </c>
      <c r="AHE611" s="10">
        <f>AHC611*1.5*AHB611</f>
        <v>214.5</v>
      </c>
      <c r="AHF611" s="10"/>
      <c r="AHG611" s="274"/>
      <c r="AHH611" s="203" t="s">
        <v>75</v>
      </c>
      <c r="AHI611" s="277" t="s">
        <v>2293</v>
      </c>
      <c r="AHK611" s="284">
        <f>IF(AHJ611="Kopman",1.3,1)</f>
        <v>1</v>
      </c>
      <c r="AHL611" s="204">
        <f>VLOOKUP(AHI611,$A$681:$F$2272,6,FALSE)</f>
        <v>257</v>
      </c>
      <c r="AHM611" s="203" t="s">
        <v>61</v>
      </c>
      <c r="AHN611" s="10">
        <f>AHL611*1.5*AHK611</f>
        <v>385.5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VLOOKUP(AHR611,$A$681:$F$2272,6,FALSE)</f>
        <v>159</v>
      </c>
      <c r="AHV611" s="203" t="s">
        <v>61</v>
      </c>
      <c r="AHW611" s="10">
        <f>AHU611*1.5*AHT611</f>
        <v>238.5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VLOOKUP(AIA611,$A$681:$F$2272,6,FALSE)</f>
        <v>14</v>
      </c>
      <c r="AIE611" s="203" t="s">
        <v>61</v>
      </c>
      <c r="AIF611" s="10">
        <f>AID611*1.5*AIC611</f>
        <v>21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VLOOKUP(AIJ611,$A$681:$F$2272,6,FALSE)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VLOOKUP(AIS611,$A$681:$F$2272,6,FALSE)</f>
        <v>167</v>
      </c>
      <c r="AIW611" s="203" t="s">
        <v>61</v>
      </c>
      <c r="AIX611" s="10">
        <f>AIV611*1.5*AIU611</f>
        <v>250.5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VLOOKUP(AJB611,$A$681:$F$2272,6,FALSE)</f>
        <v>236</v>
      </c>
      <c r="AJF611" s="203" t="s">
        <v>61</v>
      </c>
      <c r="AJG611" s="10">
        <f>AJE611*1.5*AJD611</f>
        <v>354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VLOOKUP(AJK611,$A$681:$F$2272,6,FALSE)</f>
        <v>167</v>
      </c>
      <c r="AJO611" s="203" t="s">
        <v>61</v>
      </c>
      <c r="AJP611" s="10">
        <f>AJN611*1.5*AJM611</f>
        <v>250.5</v>
      </c>
      <c r="AJQ611" s="10"/>
      <c r="AJR611" s="274"/>
      <c r="AJS611" s="203" t="s">
        <v>75</v>
      </c>
      <c r="AJT611" s="432" t="s">
        <v>2293</v>
      </c>
      <c r="AJV611" s="284">
        <f>IF(AJU611="Kopman",1.3,1)</f>
        <v>1</v>
      </c>
      <c r="AJW611" s="204">
        <f>VLOOKUP(AJT611,$A$681:$F$2272,6,FALSE)</f>
        <v>257</v>
      </c>
      <c r="AJX611" s="203" t="s">
        <v>61</v>
      </c>
      <c r="AJY611" s="10">
        <f>AJW611*1.5*AJV611</f>
        <v>385.5</v>
      </c>
      <c r="AJZ611" s="10"/>
      <c r="AKA611" s="274"/>
      <c r="AKB611" s="203" t="s">
        <v>75</v>
      </c>
      <c r="AKC611" s="277" t="s">
        <v>2293</v>
      </c>
      <c r="AKE611" s="284">
        <f>IF(AKD611="Kopman",1.3,1)</f>
        <v>1</v>
      </c>
      <c r="AKF611" s="204">
        <f>VLOOKUP(AKC611,$A$681:$F$2272,6,FALSE)</f>
        <v>257</v>
      </c>
      <c r="AKG611" s="203" t="s">
        <v>61</v>
      </c>
      <c r="AKH611" s="10">
        <f>AKF611*1.5*AKE611</f>
        <v>385.5</v>
      </c>
      <c r="AKI611" s="10"/>
      <c r="AKJ611" s="274"/>
      <c r="AKK611" s="203" t="s">
        <v>75</v>
      </c>
      <c r="AKL611" s="277" t="s">
        <v>2293</v>
      </c>
      <c r="AKN611" s="284">
        <f>IF(AKM611="Kopman",1.3,1)</f>
        <v>1</v>
      </c>
      <c r="AKO611" s="204">
        <f>VLOOKUP(AKL611,$A$681:$F$2272,6,FALSE)</f>
        <v>257</v>
      </c>
      <c r="AKP611" s="203" t="s">
        <v>61</v>
      </c>
      <c r="AKQ611" s="10">
        <f>AKO611*1.5*AKN611</f>
        <v>385.5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VLOOKUP(AKU611,$A$681:$F$2272,6,FALSE)</f>
        <v>197</v>
      </c>
      <c r="AKY611" s="203" t="s">
        <v>61</v>
      </c>
      <c r="AKZ611" s="10">
        <f>AKX611*1.5*AKW611</f>
        <v>295.5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VLOOKUP(ALD611,$A$681:$F$2272,6,FALSE)</f>
        <v>219</v>
      </c>
      <c r="ALH611" s="203" t="s">
        <v>61</v>
      </c>
      <c r="ALI611" s="10">
        <f>ALG611*1.5*ALF611</f>
        <v>328.5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VLOOKUP(ALM611,$A$681:$F$2272,6,FALSE)</f>
        <v>14</v>
      </c>
      <c r="ALQ611" s="203" t="s">
        <v>61</v>
      </c>
      <c r="ALR611" s="10">
        <f>ALP611*1.5*ALO611</f>
        <v>21</v>
      </c>
      <c r="ALS611" s="10"/>
      <c r="ALT611" s="274"/>
      <c r="ALU611" s="203" t="s">
        <v>75</v>
      </c>
      <c r="ALV611" s="277" t="s">
        <v>2293</v>
      </c>
      <c r="ALX611" s="284">
        <f>IF(ALW611="Kopman",1.3,1)</f>
        <v>1</v>
      </c>
      <c r="ALY611" s="204">
        <f>VLOOKUP(ALV611,$A$681:$F$2272,6,FALSE)</f>
        <v>257</v>
      </c>
      <c r="ALZ611" s="203" t="s">
        <v>61</v>
      </c>
      <c r="AMA611" s="10">
        <f>ALY611*1.5*ALX611</f>
        <v>385.5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VLOOKUP(AME611,$A$681:$F$2272,6,FALSE)</f>
        <v>167</v>
      </c>
      <c r="AMI611" s="203" t="s">
        <v>61</v>
      </c>
      <c r="AMJ611" s="10">
        <f>AMH611*1.5*AMG611</f>
        <v>250.5</v>
      </c>
      <c r="AMK611" s="10"/>
      <c r="AML611" s="274"/>
      <c r="AMM611" s="203" t="s">
        <v>75</v>
      </c>
      <c r="AMN611" s="417" t="s">
        <v>1263</v>
      </c>
      <c r="AMO611" s="416" t="s">
        <v>2023</v>
      </c>
      <c r="AMP611" s="284">
        <f>IF(AMO611="Kopman",1.3,1)</f>
        <v>1.3</v>
      </c>
      <c r="AMQ611" s="204">
        <f>VLOOKUP(AMN611,$A$681:$F$2272,6,FALSE)</f>
        <v>236</v>
      </c>
      <c r="AMR611" s="203" t="s">
        <v>61</v>
      </c>
      <c r="AMS611" s="10">
        <f>AMQ611*1.5*AMP611</f>
        <v>460.2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VLOOKUP(AMW611,$A$681:$F$2272,6,FALSE)</f>
        <v>236</v>
      </c>
      <c r="ANA611" s="203" t="s">
        <v>61</v>
      </c>
      <c r="ANB611" s="10">
        <f>AMZ611*1.5*AMY611</f>
        <v>354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VLOOKUP(ANF611,$A$681:$F$2272,6,FALSE)</f>
        <v>236</v>
      </c>
      <c r="ANJ611" s="203" t="s">
        <v>61</v>
      </c>
      <c r="ANK611" s="10">
        <f>ANI611*1.5*ANH611</f>
        <v>354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VLOOKUP(ANO611,$A$681:$F$2272,6,FALSE)</f>
        <v>143</v>
      </c>
      <c r="ANS611" s="203" t="s">
        <v>61</v>
      </c>
      <c r="ANT611" s="10">
        <f>ANR611*1.5*ANQ611</f>
        <v>214.5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VLOOKUP(ANX611,$A$681:$F$2272,6,FALSE)</f>
        <v>219</v>
      </c>
      <c r="AOB611" s="203" t="s">
        <v>61</v>
      </c>
      <c r="AOC611" s="10">
        <f>AOA611*1.5*ANZ611</f>
        <v>328.5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VLOOKUP(AOG611,$A$681:$F$2272,6,FALSE)</f>
        <v>236</v>
      </c>
      <c r="AOK611" s="203" t="s">
        <v>61</v>
      </c>
      <c r="AOL611" s="10">
        <f>AOJ611*1.5*AOI611</f>
        <v>354</v>
      </c>
      <c r="AOM611" s="10"/>
      <c r="AON611" s="274"/>
      <c r="AOO611" s="203" t="s">
        <v>75</v>
      </c>
      <c r="AOP611" s="277" t="s">
        <v>2293</v>
      </c>
      <c r="AOR611" s="284">
        <f>IF(AOQ611="Kopman",1.3,1)</f>
        <v>1</v>
      </c>
      <c r="AOS611" s="204">
        <f>VLOOKUP(AOP611,$A$681:$F$2272,6,FALSE)</f>
        <v>257</v>
      </c>
      <c r="AOT611" s="203" t="s">
        <v>61</v>
      </c>
      <c r="AOU611" s="10">
        <f>AOS611*1.5*AOR611</f>
        <v>385.5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VLOOKUP(AOY611,$A$681:$F$2272,6,FALSE)</f>
        <v>236</v>
      </c>
      <c r="APC611" s="203" t="s">
        <v>61</v>
      </c>
      <c r="APD611" s="10">
        <f>APB611*1.5*APA611</f>
        <v>354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VLOOKUP(APH611,$A$681:$F$2272,6,FALSE)</f>
        <v>236</v>
      </c>
      <c r="APL611" s="203" t="s">
        <v>61</v>
      </c>
      <c r="APM611" s="10">
        <f>APK611*1.5*APJ611</f>
        <v>354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VLOOKUP(APQ611,$A$681:$F$2272,6,FALSE)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VLOOKUP(APZ611,$A$681:$F$2272,6,FALSE)</f>
        <v>14</v>
      </c>
      <c r="AQD611" s="203" t="s">
        <v>61</v>
      </c>
      <c r="AQE611" s="10">
        <f>AQC611*1.5*AQB611</f>
        <v>21</v>
      </c>
      <c r="AQF611" s="10"/>
      <c r="AQG611" s="274"/>
    </row>
    <row r="612" spans="1:1125" s="14" customFormat="1" ht="15">
      <c r="A612" s="203" t="s">
        <v>76</v>
      </c>
      <c r="B612" s="277" t="s">
        <v>2293</v>
      </c>
      <c r="D612" s="204"/>
      <c r="E612" s="204">
        <f>VLOOKUP(B612,$A$681:$F$2272,6,FALSE)</f>
        <v>257</v>
      </c>
      <c r="F612" s="203" t="s">
        <v>63</v>
      </c>
      <c r="G612" s="10">
        <f>E612*1.4</f>
        <v>359.79999999999995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VLOOKUP(K612,$A$681:$F$2272,6,FALSE)</f>
        <v>14</v>
      </c>
      <c r="O612" s="203" t="s">
        <v>63</v>
      </c>
      <c r="P612" s="10">
        <f>N612*1.4</f>
        <v>19.599999999999998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VLOOKUP(T612,$A$681:$F$2272,6,FALSE)</f>
        <v>14</v>
      </c>
      <c r="X612" s="203" t="s">
        <v>63</v>
      </c>
      <c r="Y612" s="10">
        <f>W612*1.4</f>
        <v>19.599999999999998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VLOOKUP(AC612,$A$681:$F$2272,6,FALSE)</f>
        <v>236</v>
      </c>
      <c r="AG612" s="203" t="s">
        <v>63</v>
      </c>
      <c r="AH612" s="10">
        <f>AF612*1.4</f>
        <v>330.4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VLOOKUP(AL612,$A$681:$F$2272,6,FALSE)</f>
        <v>219</v>
      </c>
      <c r="AP612" s="203" t="s">
        <v>63</v>
      </c>
      <c r="AQ612" s="10">
        <f>AO612*1.4</f>
        <v>306.59999999999997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VLOOKUP(AU612,$A$681:$F$2272,6,FALSE)</f>
        <v>14</v>
      </c>
      <c r="AY612" s="203" t="s">
        <v>63</v>
      </c>
      <c r="AZ612" s="10">
        <f>AX612*1.4</f>
        <v>19.599999999999998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VLOOKUP(BD612,$A$681:$F$2272,6,FALSE)</f>
        <v>14</v>
      </c>
      <c r="BH612" s="203" t="s">
        <v>63</v>
      </c>
      <c r="BI612" s="10">
        <f>BG612*1.4</f>
        <v>19.599999999999998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VLOOKUP(BM612,$A$681:$F$2272,6,FALSE)</f>
        <v>236</v>
      </c>
      <c r="BQ612" s="203" t="s">
        <v>63</v>
      </c>
      <c r="BR612" s="10">
        <f>BP612*1.4</f>
        <v>330.4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VLOOKUP(BV612,$A$681:$F$2272,6,FALSE)</f>
        <v>130</v>
      </c>
      <c r="BZ612" s="203" t="s">
        <v>63</v>
      </c>
      <c r="CA612" s="10">
        <f>BY612*1.4</f>
        <v>182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VLOOKUP(CE612,$A$681:$F$2272,6,FALSE)</f>
        <v>236</v>
      </c>
      <c r="CI612" s="203" t="s">
        <v>63</v>
      </c>
      <c r="CJ612" s="10">
        <f>CH612*1.4</f>
        <v>330.4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VLOOKUP(CN612,$A$681:$F$2272,6,FALSE)</f>
        <v>143</v>
      </c>
      <c r="CR612" s="203" t="s">
        <v>63</v>
      </c>
      <c r="CS612" s="10">
        <f>CQ612*1.4</f>
        <v>200.2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VLOOKUP(CW612,$A$681:$F$2272,6,FALSE)</f>
        <v>236</v>
      </c>
      <c r="DA612" s="203" t="s">
        <v>63</v>
      </c>
      <c r="DB612" s="10">
        <f>CZ612*1.4</f>
        <v>330.4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VLOOKUP(DF612,$A$681:$F$2272,6,FALSE)</f>
        <v>130</v>
      </c>
      <c r="DJ612" s="203" t="s">
        <v>63</v>
      </c>
      <c r="DK612" s="10">
        <f>DI612*1.4</f>
        <v>182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VLOOKUP(DO612,$A$681:$F$2272,6,FALSE)</f>
        <v>14</v>
      </c>
      <c r="DS612" s="203" t="s">
        <v>63</v>
      </c>
      <c r="DT612" s="10">
        <f>DR612*1.4</f>
        <v>19.599999999999998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VLOOKUP(DX612,$A$681:$F$2272,6,FALSE)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VLOOKUP(EG612,$A$681:$F$2272,6,FALSE)</f>
        <v>130</v>
      </c>
      <c r="EK612" s="203" t="s">
        <v>63</v>
      </c>
      <c r="EL612" s="10">
        <f>EJ612*1.4</f>
        <v>182</v>
      </c>
      <c r="EM612" s="10"/>
      <c r="EN612" s="268"/>
      <c r="EO612" s="203" t="s">
        <v>76</v>
      </c>
      <c r="EP612" s="277" t="s">
        <v>2293</v>
      </c>
      <c r="ER612" s="204"/>
      <c r="ES612" s="204">
        <f>VLOOKUP(EP612,$A$681:$F$2272,6,FALSE)</f>
        <v>257</v>
      </c>
      <c r="ET612" s="203" t="s">
        <v>63</v>
      </c>
      <c r="EU612" s="10">
        <f>ES612*1.4</f>
        <v>359.79999999999995</v>
      </c>
      <c r="EV612" s="10"/>
      <c r="EW612" s="268"/>
      <c r="EX612" s="203" t="s">
        <v>76</v>
      </c>
      <c r="EY612" s="277" t="s">
        <v>2293</v>
      </c>
      <c r="FA612" s="204"/>
      <c r="FB612" s="204">
        <f>VLOOKUP(EY612,$A$681:$F$2272,6,FALSE)</f>
        <v>257</v>
      </c>
      <c r="FC612" s="203" t="s">
        <v>63</v>
      </c>
      <c r="FD612" s="10">
        <f>FB612*1.4</f>
        <v>359.79999999999995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VLOOKUP(FH612,$A$681:$F$2272,6,FALSE)</f>
        <v>219</v>
      </c>
      <c r="FL612" s="203" t="s">
        <v>63</v>
      </c>
      <c r="FM612" s="10">
        <f>FK612*1.4</f>
        <v>306.59999999999997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VLOOKUP(FQ612,$A$681:$F$2272,6,FALSE)</f>
        <v>14</v>
      </c>
      <c r="FU612" s="203" t="s">
        <v>63</v>
      </c>
      <c r="FV612" s="10">
        <f>FT612*1.4</f>
        <v>19.599999999999998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VLOOKUP(FZ612,$A$681:$F$2272,6,FALSE)</f>
        <v>219</v>
      </c>
      <c r="GD612" s="203" t="s">
        <v>63</v>
      </c>
      <c r="GE612" s="10">
        <f>GC612*1.4</f>
        <v>306.59999999999997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VLOOKUP(GI612,$A$681:$F$2272,6,FALSE)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2293</v>
      </c>
      <c r="GT612" s="204"/>
      <c r="GU612" s="204">
        <f>VLOOKUP(GR612,$A$681:$F$2272,6,FALSE)</f>
        <v>257</v>
      </c>
      <c r="GV612" s="203" t="s">
        <v>63</v>
      </c>
      <c r="GW612" s="10">
        <f>GU612*1.4</f>
        <v>359.79999999999995</v>
      </c>
      <c r="GX612" s="10"/>
      <c r="GY612" s="268"/>
      <c r="GZ612" s="203" t="s">
        <v>76</v>
      </c>
      <c r="HA612" s="277" t="s">
        <v>2293</v>
      </c>
      <c r="HC612" s="204"/>
      <c r="HD612" s="204">
        <f>VLOOKUP(HA612,$A$681:$F$2272,6,FALSE)</f>
        <v>257</v>
      </c>
      <c r="HE612" s="203" t="s">
        <v>63</v>
      </c>
      <c r="HF612" s="10">
        <f>HD612*1.4</f>
        <v>359.79999999999995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VLOOKUP(HJ612,$A$681:$F$2272,6,FALSE)</f>
        <v>14</v>
      </c>
      <c r="HN612" s="203" t="s">
        <v>63</v>
      </c>
      <c r="HO612" s="10">
        <f>HM612*1.4</f>
        <v>19.599999999999998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VLOOKUP(HS612,$A$681:$F$2272,6,FALSE)</f>
        <v>236</v>
      </c>
      <c r="HW612" s="203" t="s">
        <v>63</v>
      </c>
      <c r="HX612" s="10">
        <f>HV612*1.4</f>
        <v>330.4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VLOOKUP(IB612,$A$681:$F$2272,6,FALSE)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VLOOKUP(IK612,$A$681:$F$2272,6,FALSE)</f>
        <v>130</v>
      </c>
      <c r="IO612" s="203" t="s">
        <v>63</v>
      </c>
      <c r="IP612" s="10">
        <f>IN612*1.4</f>
        <v>182</v>
      </c>
      <c r="IQ612" s="10"/>
      <c r="IR612" s="268"/>
      <c r="IS612" s="203" t="s">
        <v>76</v>
      </c>
      <c r="IT612" s="277" t="s">
        <v>2293</v>
      </c>
      <c r="IV612" s="204"/>
      <c r="IW612" s="204">
        <f>VLOOKUP(IT612,$A$681:$F$2272,6,FALSE)</f>
        <v>257</v>
      </c>
      <c r="IX612" s="203" t="s">
        <v>63</v>
      </c>
      <c r="IY612" s="10">
        <f>IW612*1.4</f>
        <v>359.79999999999995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VLOOKUP(JC612,$A$681:$F$2272,6,FALSE)</f>
        <v>130</v>
      </c>
      <c r="JG612" s="203" t="s">
        <v>63</v>
      </c>
      <c r="JH612" s="10">
        <f>JF612*1.4</f>
        <v>182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VLOOKUP(JL612,$A$681:$F$2272,6,FALSE)</f>
        <v>236</v>
      </c>
      <c r="JP612" s="203" t="s">
        <v>63</v>
      </c>
      <c r="JQ612" s="10">
        <f>JO612*1.4</f>
        <v>330.4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VLOOKUP(JU612,$A$681:$F$2272,6,FALSE)</f>
        <v>236</v>
      </c>
      <c r="JY612" s="203" t="s">
        <v>63</v>
      </c>
      <c r="JZ612" s="10">
        <f>JX612*1.4</f>
        <v>330.4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VLOOKUP(KD612,$A$681:$F$2272,6,FALSE)</f>
        <v>143</v>
      </c>
      <c r="KH612" s="203" t="s">
        <v>63</v>
      </c>
      <c r="KI612" s="10">
        <f>KG612*1.4</f>
        <v>200.2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VLOOKUP(KM612,$A$681:$F$2272,6,FALSE)</f>
        <v>236</v>
      </c>
      <c r="KQ612" s="203" t="s">
        <v>63</v>
      </c>
      <c r="KR612" s="10">
        <f>KP612*1.4</f>
        <v>330.4</v>
      </c>
      <c r="KS612" s="10"/>
      <c r="KT612" s="268"/>
      <c r="KU612" s="203" t="s">
        <v>76</v>
      </c>
      <c r="KV612" s="277" t="s">
        <v>2293</v>
      </c>
      <c r="KX612" s="204"/>
      <c r="KY612" s="204">
        <f>VLOOKUP(KV612,$A$681:$F$2272,6,FALSE)</f>
        <v>257</v>
      </c>
      <c r="KZ612" s="203" t="s">
        <v>63</v>
      </c>
      <c r="LA612" s="10">
        <f>KY612*1.4</f>
        <v>359.79999999999995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VLOOKUP(LE612,$A$681:$F$2272,6,FALSE)</f>
        <v>219</v>
      </c>
      <c r="LI612" s="203" t="s">
        <v>63</v>
      </c>
      <c r="LJ612" s="10">
        <f>LH612*1.4</f>
        <v>306.59999999999997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VLOOKUP(LN612,$A$681:$F$2272,6,FALSE)</f>
        <v>236</v>
      </c>
      <c r="LR612" s="203" t="s">
        <v>63</v>
      </c>
      <c r="LS612" s="10">
        <f>LQ612*1.4</f>
        <v>330.4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VLOOKUP(LW612,$A$681:$F$2272,6,FALSE)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2293</v>
      </c>
      <c r="MH612" s="204"/>
      <c r="MI612" s="204">
        <f>VLOOKUP(MF612,$A$681:$F$2272,6,FALSE)</f>
        <v>257</v>
      </c>
      <c r="MJ612" s="203" t="s">
        <v>63</v>
      </c>
      <c r="MK612" s="10">
        <f>MI612*1.4</f>
        <v>359.79999999999995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VLOOKUP(MO612,$A$681:$F$2272,6,FALSE)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VLOOKUP(MX612,$A$681:$F$2272,6,FALSE)</f>
        <v>14</v>
      </c>
      <c r="NB612" s="203" t="s">
        <v>63</v>
      </c>
      <c r="NC612" s="10">
        <f>NA612*1.4</f>
        <v>19.599999999999998</v>
      </c>
      <c r="ND612" s="10"/>
      <c r="NE612" s="268"/>
      <c r="NF612" s="203" t="s">
        <v>76</v>
      </c>
      <c r="NG612" s="277" t="s">
        <v>2293</v>
      </c>
      <c r="NI612" s="204"/>
      <c r="NJ612" s="204">
        <f>VLOOKUP(NG612,$A$681:$F$2272,6,FALSE)</f>
        <v>257</v>
      </c>
      <c r="NK612" s="203" t="s">
        <v>63</v>
      </c>
      <c r="NL612" s="10">
        <f>NJ612*1.4</f>
        <v>359.79999999999995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VLOOKUP(NP612,$A$681:$F$2272,6,FALSE)</f>
        <v>236</v>
      </c>
      <c r="NT612" s="203" t="s">
        <v>63</v>
      </c>
      <c r="NU612" s="10">
        <f>NS612*1.4</f>
        <v>330.4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VLOOKUP(NY612,$A$681:$F$2272,6,FALSE)</f>
        <v>32</v>
      </c>
      <c r="OC612" s="203" t="s">
        <v>63</v>
      </c>
      <c r="OD612" s="10">
        <f>OB612*1.4</f>
        <v>44.8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VLOOKUP(OH612,$A$681:$F$2272,6,FALSE)</f>
        <v>143</v>
      </c>
      <c r="OL612" s="203" t="s">
        <v>63</v>
      </c>
      <c r="OM612" s="10">
        <f>OK612*1.4</f>
        <v>200.2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VLOOKUP(OQ612,$A$681:$F$2272,6,FALSE)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VLOOKUP(OZ612,$A$681:$F$2272,6,FALSE)</f>
        <v>167</v>
      </c>
      <c r="PD612" s="203" t="s">
        <v>63</v>
      </c>
      <c r="PE612" s="10">
        <f>PC612*1.4</f>
        <v>233.79999999999998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VLOOKUP(PI612,$A$681:$F$2272,6,FALSE)</f>
        <v>236</v>
      </c>
      <c r="PM612" s="203" t="s">
        <v>63</v>
      </c>
      <c r="PN612" s="10">
        <f>PL612*1.4</f>
        <v>330.4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VLOOKUP(PR612,$A$681:$F$2272,6,FALSE)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VLOOKUP(QA612,$A$681:$F$2272,6,FALSE)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2293</v>
      </c>
      <c r="QL612" s="204"/>
      <c r="QM612" s="204">
        <f>VLOOKUP(QJ612,$A$681:$F$2272,6,FALSE)</f>
        <v>257</v>
      </c>
      <c r="QN612" s="203" t="s">
        <v>63</v>
      </c>
      <c r="QO612" s="10">
        <f>QM612*1.4</f>
        <v>359.79999999999995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VLOOKUP(QS612,$A$681:$F$2272,6,FALSE)</f>
        <v>197</v>
      </c>
      <c r="QW612" s="203" t="s">
        <v>63</v>
      </c>
      <c r="QX612" s="10">
        <f>QV612*1.4</f>
        <v>275.79999999999995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VLOOKUP(RB612,$A$681:$F$2272,6,FALSE)</f>
        <v>167</v>
      </c>
      <c r="RF612" s="203" t="s">
        <v>63</v>
      </c>
      <c r="RG612" s="10">
        <f>RE612*1.4</f>
        <v>233.79999999999998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VLOOKUP(RK612,$A$681:$F$2272,6,FALSE)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VLOOKUP(RT612,$A$681:$F$2272,6,FALSE)</f>
        <v>236</v>
      </c>
      <c r="RX612" s="203" t="s">
        <v>63</v>
      </c>
      <c r="RY612" s="10">
        <f>RW612*1.4</f>
        <v>330.4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VLOOKUP(SC612,$A$681:$F$2272,6,FALSE)</f>
        <v>167</v>
      </c>
      <c r="SG612" s="203" t="s">
        <v>63</v>
      </c>
      <c r="SH612" s="10">
        <f>SF612*1.4</f>
        <v>233.79999999999998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VLOOKUP(SL612,$A$681:$F$2272,6,FALSE)</f>
        <v>236</v>
      </c>
      <c r="SP612" s="203" t="s">
        <v>63</v>
      </c>
      <c r="SQ612" s="10">
        <f>SO612*1.4</f>
        <v>330.4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VLOOKUP(SU612,$A$681:$F$2272,6,FALSE)</f>
        <v>130</v>
      </c>
      <c r="SY612" s="203" t="s">
        <v>63</v>
      </c>
      <c r="SZ612" s="10">
        <f>SX612*1.4</f>
        <v>182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VLOOKUP(TD612,$A$681:$F$2272,6,FALSE)</f>
        <v>236</v>
      </c>
      <c r="TH612" s="203" t="s">
        <v>63</v>
      </c>
      <c r="TI612" s="10">
        <f>TG612*1.4</f>
        <v>330.4</v>
      </c>
      <c r="TK612" s="274"/>
      <c r="TL612" s="203" t="s">
        <v>76</v>
      </c>
      <c r="TM612" s="277" t="s">
        <v>1263</v>
      </c>
      <c r="TO612" s="204"/>
      <c r="TP612" s="204">
        <f>VLOOKUP(TM612,$A$681:$F$2272,6,FALSE)</f>
        <v>236</v>
      </c>
      <c r="TQ612" s="203" t="s">
        <v>63</v>
      </c>
      <c r="TR612" s="10">
        <f>TP612*1.4</f>
        <v>330.4</v>
      </c>
      <c r="TS612" s="10"/>
      <c r="TT612" s="274"/>
      <c r="TU612" s="203" t="s">
        <v>76</v>
      </c>
      <c r="TV612" s="277" t="s">
        <v>2293</v>
      </c>
      <c r="TX612" s="204"/>
      <c r="TY612" s="204">
        <f>VLOOKUP(TV612,$A$681:$F$2272,6,FALSE)</f>
        <v>257</v>
      </c>
      <c r="TZ612" s="203" t="s">
        <v>63</v>
      </c>
      <c r="UA612" s="10">
        <f>TY612*1.4</f>
        <v>359.79999999999995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VLOOKUP(UE612,$A$681:$F$2272,6,FALSE)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VLOOKUP(UN612,$A$681:$F$2272,6,FALSE)</f>
        <v>143</v>
      </c>
      <c r="UR612" s="203" t="s">
        <v>63</v>
      </c>
      <c r="US612" s="10">
        <f>UQ612*1.4</f>
        <v>200.2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VLOOKUP(UW612,$A$681:$F$2272,6,FALSE)</f>
        <v>130</v>
      </c>
      <c r="VA612" s="203" t="s">
        <v>63</v>
      </c>
      <c r="VB612" s="10">
        <f>UZ612*1.4</f>
        <v>182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VLOOKUP(VF612,$A$681:$F$2272,6,FALSE)</f>
        <v>14</v>
      </c>
      <c r="VJ612" s="203" t="s">
        <v>63</v>
      </c>
      <c r="VK612" s="10">
        <f>VI612*1.4</f>
        <v>19.599999999999998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VLOOKUP(VO612,$A$681:$F$2272,6,FALSE)</f>
        <v>130</v>
      </c>
      <c r="VS612" s="203" t="s">
        <v>63</v>
      </c>
      <c r="VT612" s="10">
        <f>VR612*1.4</f>
        <v>182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VLOOKUP(VX612,$A$681:$F$2272,6,FALSE)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VLOOKUP(WG612,$A$681:$F$2272,6,FALSE)</f>
        <v>197</v>
      </c>
      <c r="WK612" s="203" t="s">
        <v>63</v>
      </c>
      <c r="WL612" s="10">
        <f>WJ612*1.4</f>
        <v>275.79999999999995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VLOOKUP(WP612,$A$681:$F$2272,6,FALSE)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VLOOKUP(WY612,$A$681:$F$2272,6,FALSE)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VLOOKUP(XH612,$A$681:$F$2272,6,FALSE)</f>
        <v>14</v>
      </c>
      <c r="XL612" s="203" t="s">
        <v>63</v>
      </c>
      <c r="XM612" s="10">
        <f>XK612*1.4</f>
        <v>19.599999999999998</v>
      </c>
      <c r="XO612" s="274"/>
      <c r="XP612" s="203" t="s">
        <v>76</v>
      </c>
      <c r="XQ612" s="277" t="s">
        <v>2293</v>
      </c>
      <c r="XS612" s="204"/>
      <c r="XT612" s="204">
        <f>VLOOKUP(XQ612,$A$681:$F$2272,6,FALSE)</f>
        <v>257</v>
      </c>
      <c r="XU612" s="203" t="s">
        <v>63</v>
      </c>
      <c r="XV612" s="10">
        <f>XT612*1.4</f>
        <v>359.79999999999995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VLOOKUP(XZ612,$A$681:$F$2272,6,FALSE)</f>
        <v>185</v>
      </c>
      <c r="YD612" s="203" t="s">
        <v>63</v>
      </c>
      <c r="YE612" s="10">
        <f>YC612*1.4</f>
        <v>259</v>
      </c>
      <c r="YG612" s="274"/>
      <c r="YH612" s="203" t="s">
        <v>76</v>
      </c>
      <c r="YI612" s="279" t="s">
        <v>183</v>
      </c>
      <c r="YK612" s="204"/>
      <c r="YL612" s="204" t="e">
        <f>VLOOKUP(YI612,$A$681:$F$2272,6,FALSE)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VLOOKUP(YR612,$A$681:$F$2272,6,FALSE)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VLOOKUP(ZA612,$A$681:$F$2272,6,FALSE)</f>
        <v>219</v>
      </c>
      <c r="ZE612" s="203" t="s">
        <v>63</v>
      </c>
      <c r="ZF612" s="10">
        <f>ZD612*1.4</f>
        <v>306.59999999999997</v>
      </c>
      <c r="ZH612" s="274"/>
      <c r="ZI612" s="203" t="s">
        <v>76</v>
      </c>
      <c r="ZJ612" s="277" t="s">
        <v>422</v>
      </c>
      <c r="ZL612" s="204"/>
      <c r="ZM612" s="204">
        <f>VLOOKUP(ZJ612,$A$681:$F$2272,6,FALSE)</f>
        <v>143</v>
      </c>
      <c r="ZN612" s="203" t="s">
        <v>63</v>
      </c>
      <c r="ZO612" s="10">
        <f>ZM612*1.4</f>
        <v>200.2</v>
      </c>
      <c r="ZQ612" s="274"/>
      <c r="ZR612" s="203" t="s">
        <v>76</v>
      </c>
      <c r="ZS612" s="277" t="s">
        <v>465</v>
      </c>
      <c r="ZU612" s="204"/>
      <c r="ZV612" s="204">
        <f>VLOOKUP(ZS612,$A$681:$F$2272,6,FALSE)</f>
        <v>130</v>
      </c>
      <c r="ZW612" s="203" t="s">
        <v>63</v>
      </c>
      <c r="ZX612" s="10">
        <f>ZV612*1.4</f>
        <v>182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VLOOKUP(AAB612,$A$681:$F$2272,6,FALSE)</f>
        <v>185</v>
      </c>
      <c r="AAF612" s="203" t="s">
        <v>63</v>
      </c>
      <c r="AAG612" s="10">
        <f>AAE612*1.4</f>
        <v>259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VLOOKUP(AAK612,$A$681:$F$2272,6,FALSE)</f>
        <v>219</v>
      </c>
      <c r="AAO612" s="203" t="s">
        <v>63</v>
      </c>
      <c r="AAP612" s="10">
        <f>AAN612*1.4</f>
        <v>306.59999999999997</v>
      </c>
      <c r="AAQ612" s="10"/>
      <c r="AAR612" s="274"/>
      <c r="AAS612" s="203" t="s">
        <v>76</v>
      </c>
      <c r="AAT612" s="277" t="s">
        <v>2293</v>
      </c>
      <c r="AAV612" s="204"/>
      <c r="AAW612" s="204">
        <f>VLOOKUP(AAT612,$A$681:$F$2272,6,FALSE)</f>
        <v>257</v>
      </c>
      <c r="AAX612" s="203" t="s">
        <v>63</v>
      </c>
      <c r="AAY612" s="10">
        <f>AAW612*1.4</f>
        <v>359.79999999999995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VLOOKUP(ABC612,$A$681:$F$2272,6,FALSE)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VLOOKUP(ABL612,$A$681:$F$2272,6,FALSE)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VLOOKUP(ABU612,$A$681:$F$2272,6,FALSE)</f>
        <v>130</v>
      </c>
      <c r="ABY612" s="203" t="s">
        <v>63</v>
      </c>
      <c r="ABZ612" s="10">
        <f>ABX612*1.4</f>
        <v>182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VLOOKUP(ACD612,$A$681:$F$2272,6,FALSE)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VLOOKUP(ACM612,$A$681:$F$2272,6,FALSE)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VLOOKUP(ACV612,$A$681:$F$2272,6,FALSE)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VLOOKUP(ADE612,$A$681:$F$2272,6,FALSE)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VLOOKUP(ADN612,$A$681:$F$2272,6,FALSE)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VLOOKUP(ADW612,$A$681:$F$2272,6,FALSE)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VLOOKUP(AEF612,$A$681:$F$2272,6,FALSE)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VLOOKUP(AEO612,$A$681:$F$2272,6,FALSE)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VLOOKUP(AEX612,$A$681:$F$2272,6,FALSE)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VLOOKUP(AFG612,$A$681:$F$2272,6,FALSE)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VLOOKUP(AFP612,$A$681:$F$2272,6,FALSE)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VLOOKUP(AFY612,$A$681:$F$2272,6,FALSE)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VLOOKUP(AGH612,$A$681:$F$2272,6,FALSE)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VLOOKUP(AGQ612,$A$681:$F$2272,6,FALSE)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VLOOKUP(AGZ612,$A$681:$F$2272,6,FALSE)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VLOOKUP(AHI612,$A$681:$F$2272,6,FALSE)</f>
        <v>14</v>
      </c>
      <c r="AHM612" s="203" t="s">
        <v>63</v>
      </c>
      <c r="AHN612" s="10">
        <f>AHL612*1.4</f>
        <v>19.599999999999998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VLOOKUP(AHR612,$A$681:$F$2272,6,FALSE)</f>
        <v>101</v>
      </c>
      <c r="AHV612" s="203" t="s">
        <v>63</v>
      </c>
      <c r="AHW612" s="10">
        <f>AHU612*1.4</f>
        <v>141.39999999999998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VLOOKUP(AIA612,$A$681:$F$2272,6,FALSE)</f>
        <v>143</v>
      </c>
      <c r="AIE612" s="203" t="s">
        <v>63</v>
      </c>
      <c r="AIF612" s="10">
        <f>AID612*1.4</f>
        <v>200.2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VLOOKUP(AIJ612,$A$681:$F$2272,6,FALSE)</f>
        <v>143</v>
      </c>
      <c r="AIN612" s="203" t="s">
        <v>63</v>
      </c>
      <c r="AIO612" s="10">
        <f>AIM612*1.4</f>
        <v>200.2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VLOOKUP(AIS612,$A$681:$F$2272,6,FALSE)</f>
        <v>3</v>
      </c>
      <c r="AIW612" s="203" t="s">
        <v>63</v>
      </c>
      <c r="AIX612" s="10">
        <f>AIV612*1.4</f>
        <v>4.1999999999999993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VLOOKUP(AJB612,$A$681:$F$2272,6,FALSE)</f>
        <v>143</v>
      </c>
      <c r="AJF612" s="203" t="s">
        <v>63</v>
      </c>
      <c r="AJG612" s="10">
        <f>AJE612*1.4</f>
        <v>200.2</v>
      </c>
      <c r="AJH612" s="10"/>
      <c r="AJI612" s="274"/>
      <c r="AJJ612" s="203" t="s">
        <v>76</v>
      </c>
      <c r="AJK612" s="277" t="s">
        <v>2293</v>
      </c>
      <c r="AJM612" s="204"/>
      <c r="AJN612" s="204">
        <f>VLOOKUP(AJK612,$A$681:$F$2272,6,FALSE)</f>
        <v>257</v>
      </c>
      <c r="AJO612" s="203" t="s">
        <v>63</v>
      </c>
      <c r="AJP612" s="10">
        <f>AJN612*1.4</f>
        <v>359.79999999999995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VLOOKUP(AJT612,$A$681:$F$2272,6,FALSE)</f>
        <v>32</v>
      </c>
      <c r="AJX612" s="203" t="s">
        <v>63</v>
      </c>
      <c r="AJY612" s="10">
        <f>AJW612*1.4</f>
        <v>44.8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VLOOKUP(AKC612,$A$681:$F$2272,6,FALSE)</f>
        <v>236</v>
      </c>
      <c r="AKG612" s="203" t="s">
        <v>63</v>
      </c>
      <c r="AKH612" s="10">
        <f>AKF612*1.4</f>
        <v>330.4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VLOOKUP(AKL612,$A$681:$F$2272,6,FALSE)</f>
        <v>236</v>
      </c>
      <c r="AKP612" s="203" t="s">
        <v>63</v>
      </c>
      <c r="AKQ612" s="10">
        <f>AKO612*1.4</f>
        <v>330.4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VLOOKUP(AKU612,$A$681:$F$2272,6,FALSE)</f>
        <v>101</v>
      </c>
      <c r="AKY612" s="203" t="s">
        <v>63</v>
      </c>
      <c r="AKZ612" s="10">
        <f>AKX612*1.4</f>
        <v>141.39999999999998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VLOOKUP(ALD612,$A$681:$F$2272,6,FALSE)</f>
        <v>3</v>
      </c>
      <c r="ALH612" s="203" t="s">
        <v>63</v>
      </c>
      <c r="ALI612" s="10">
        <f>ALG612*1.4</f>
        <v>4.1999999999999993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VLOOKUP(ALM612,$A$681:$F$2272,6,FALSE)</f>
        <v>197</v>
      </c>
      <c r="ALQ612" s="203" t="s">
        <v>63</v>
      </c>
      <c r="ALR612" s="10">
        <f>ALP612*1.4</f>
        <v>275.79999999999995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VLOOKUP(ALV612,$A$681:$F$2272,6,FALSE)</f>
        <v>130</v>
      </c>
      <c r="ALZ612" s="203" t="s">
        <v>63</v>
      </c>
      <c r="AMA612" s="10">
        <f>ALY612*1.4</f>
        <v>182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VLOOKUP(AME612,$A$681:$F$2272,6,FALSE)</f>
        <v>130</v>
      </c>
      <c r="AMI612" s="203" t="s">
        <v>63</v>
      </c>
      <c r="AMJ612" s="10">
        <f>AMH612*1.4</f>
        <v>182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VLOOKUP(AMN612,$A$681:$F$2272,6,FALSE)</f>
        <v>185</v>
      </c>
      <c r="AMR612" s="203" t="s">
        <v>63</v>
      </c>
      <c r="AMS612" s="10">
        <f>AMQ612*1.4</f>
        <v>259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VLOOKUP(AMW612,$A$681:$F$2272,6,FALSE)</f>
        <v>167</v>
      </c>
      <c r="ANA612" s="203" t="s">
        <v>63</v>
      </c>
      <c r="ANB612" s="10">
        <f>AMZ612*1.4</f>
        <v>233.79999999999998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VLOOKUP(ANF612,$A$681:$F$2272,6,FALSE)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VLOOKUP(ANO612,$A$681:$F$2272,6,FALSE)</f>
        <v>185</v>
      </c>
      <c r="ANS612" s="203" t="s">
        <v>63</v>
      </c>
      <c r="ANT612" s="10">
        <f>ANR612*1.4</f>
        <v>259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VLOOKUP(ANX612,$A$681:$F$2272,6,FALSE)</f>
        <v>130</v>
      </c>
      <c r="AOB612" s="203" t="s">
        <v>63</v>
      </c>
      <c r="AOC612" s="10">
        <f>AOA612*1.4</f>
        <v>182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VLOOKUP(AOG612,$A$681:$F$2272,6,FALSE)</f>
        <v>14</v>
      </c>
      <c r="AOK612" s="203" t="s">
        <v>63</v>
      </c>
      <c r="AOL612" s="10">
        <f>AOJ612*1.4</f>
        <v>19.599999999999998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VLOOKUP(AOP612,$A$681:$F$2272,6,FALSE)</f>
        <v>236</v>
      </c>
      <c r="AOT612" s="203" t="s">
        <v>63</v>
      </c>
      <c r="AOU612" s="10">
        <f>AOS612*1.4</f>
        <v>330.4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VLOOKUP(AOY612,$A$681:$F$2272,6,FALSE)</f>
        <v>143</v>
      </c>
      <c r="APC612" s="203" t="s">
        <v>63</v>
      </c>
      <c r="APD612" s="10">
        <f>APB612*1.4</f>
        <v>200.2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VLOOKUP(APH612,$A$681:$F$2272,6,FALSE)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VLOOKUP(APQ612,$A$681:$F$2272,6,FALSE)</f>
        <v>197</v>
      </c>
      <c r="APU612" s="203" t="s">
        <v>63</v>
      </c>
      <c r="APV612" s="10">
        <f>APT612*1.4</f>
        <v>275.79999999999995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VLOOKUP(APZ612,$A$681:$F$2272,6,FALSE)</f>
        <v>167</v>
      </c>
      <c r="AQD612" s="203" t="s">
        <v>63</v>
      </c>
      <c r="AQE612" s="10">
        <f>AQC612*1.4</f>
        <v>233.79999999999998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VLOOKUP(B613,$A$681:$F$2272,6,FALSE)</f>
        <v>236</v>
      </c>
      <c r="F613" s="203" t="s">
        <v>65</v>
      </c>
      <c r="G613" s="10">
        <f>E613*1.3</f>
        <v>306.8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VLOOKUP(K613,$A$681:$F$2272,6,FALSE)</f>
        <v>219</v>
      </c>
      <c r="O613" s="203" t="s">
        <v>65</v>
      </c>
      <c r="P613" s="10">
        <f>N613*1.3</f>
        <v>284.7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VLOOKUP(T613,$A$681:$F$2272,6,FALSE)</f>
        <v>219</v>
      </c>
      <c r="X613" s="203" t="s">
        <v>65</v>
      </c>
      <c r="Y613" s="10">
        <f>W613*1.3</f>
        <v>284.7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VLOOKUP(AC613,$A$681:$F$2272,6,FALSE)</f>
        <v>219</v>
      </c>
      <c r="AG613" s="203" t="s">
        <v>65</v>
      </c>
      <c r="AH613" s="10">
        <f>AF613*1.3</f>
        <v>284.7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VLOOKUP(AL613,$A$681:$F$2272,6,FALSE)</f>
        <v>236</v>
      </c>
      <c r="AP613" s="203" t="s">
        <v>65</v>
      </c>
      <c r="AQ613" s="10">
        <f>AO613*1.3</f>
        <v>306.8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VLOOKUP(AU613,$A$681:$F$2272,6,FALSE)</f>
        <v>167</v>
      </c>
      <c r="AY613" s="203" t="s">
        <v>65</v>
      </c>
      <c r="AZ613" s="10">
        <f>AX613*1.3</f>
        <v>217.1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VLOOKUP(BD613,$A$681:$F$2272,6,FALSE)</f>
        <v>101</v>
      </c>
      <c r="BH613" s="203" t="s">
        <v>65</v>
      </c>
      <c r="BI613" s="10">
        <f>BG613*1.3</f>
        <v>131.30000000000001</v>
      </c>
      <c r="BJ613" s="10"/>
      <c r="BK613" s="268"/>
      <c r="BL613" s="203" t="s">
        <v>77</v>
      </c>
      <c r="BM613" s="277" t="s">
        <v>2293</v>
      </c>
      <c r="BO613" s="204"/>
      <c r="BP613" s="204">
        <f>VLOOKUP(BM613,$A$681:$F$2272,6,FALSE)</f>
        <v>257</v>
      </c>
      <c r="BQ613" s="203" t="s">
        <v>65</v>
      </c>
      <c r="BR613" s="10">
        <f>BP613*1.3</f>
        <v>334.1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VLOOKUP(BV613,$A$681:$F$2272,6,FALSE)</f>
        <v>219</v>
      </c>
      <c r="BZ613" s="203" t="s">
        <v>65</v>
      </c>
      <c r="CA613" s="10">
        <f>BY613*1.3</f>
        <v>284.7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VLOOKUP(CE613,$A$681:$F$2272,6,FALSE)</f>
        <v>167</v>
      </c>
      <c r="CI613" s="203" t="s">
        <v>65</v>
      </c>
      <c r="CJ613" s="10">
        <f>CH613*1.3</f>
        <v>217.1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VLOOKUP(CN613,$A$681:$F$2272,6,FALSE)</f>
        <v>236</v>
      </c>
      <c r="CR613" s="203" t="s">
        <v>65</v>
      </c>
      <c r="CS613" s="10">
        <f>CQ613*1.3</f>
        <v>306.8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VLOOKUP(CW613,$A$681:$F$2272,6,FALSE)</f>
        <v>130</v>
      </c>
      <c r="DA613" s="203" t="s">
        <v>65</v>
      </c>
      <c r="DB613" s="10">
        <f>CZ613*1.3</f>
        <v>169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VLOOKUP(DF613,$A$681:$F$2272,6,FALSE)</f>
        <v>236</v>
      </c>
      <c r="DJ613" s="203" t="s">
        <v>65</v>
      </c>
      <c r="DK613" s="10">
        <f>DI613*1.3</f>
        <v>306.8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VLOOKUP(DO613,$A$681:$F$2272,6,FALSE)</f>
        <v>236</v>
      </c>
      <c r="DS613" s="203" t="s">
        <v>65</v>
      </c>
      <c r="DT613" s="10">
        <f>DR613*1.3</f>
        <v>306.8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VLOOKUP(DX613,$A$681:$F$2272,6,FALSE)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VLOOKUP(EG613,$A$681:$F$2272,6,FALSE)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VLOOKUP(EP613,$A$681:$F$2272,6,FALSE)</f>
        <v>219</v>
      </c>
      <c r="ET613" s="203" t="s">
        <v>65</v>
      </c>
      <c r="EU613" s="10">
        <f>ES613*1.3</f>
        <v>284.7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VLOOKUP(EY613,$A$681:$F$2272,6,FALSE)</f>
        <v>219</v>
      </c>
      <c r="FC613" s="203" t="s">
        <v>65</v>
      </c>
      <c r="FD613" s="10">
        <f>FB613*1.3</f>
        <v>284.7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VLOOKUP(FH613,$A$681:$F$2272,6,FALSE)</f>
        <v>101</v>
      </c>
      <c r="FL613" s="203" t="s">
        <v>65</v>
      </c>
      <c r="FM613" s="10">
        <f>FK613*1.3</f>
        <v>131.30000000000001</v>
      </c>
      <c r="FN613" s="10"/>
      <c r="FO613" s="268"/>
      <c r="FP613" s="203" t="s">
        <v>77</v>
      </c>
      <c r="FQ613" s="277" t="s">
        <v>2293</v>
      </c>
      <c r="FS613" s="204"/>
      <c r="FT613" s="204">
        <f>VLOOKUP(FQ613,$A$681:$F$2272,6,FALSE)</f>
        <v>257</v>
      </c>
      <c r="FU613" s="203" t="s">
        <v>65</v>
      </c>
      <c r="FV613" s="10">
        <f>FT613*1.3</f>
        <v>334.1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VLOOKUP(FZ613,$A$681:$F$2272,6,FALSE)</f>
        <v>130</v>
      </c>
      <c r="GD613" s="203" t="s">
        <v>65</v>
      </c>
      <c r="GE613" s="10">
        <f>GC613*1.3</f>
        <v>169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VLOOKUP(GI613,$A$681:$F$2272,6,FALSE)</f>
        <v>219</v>
      </c>
      <c r="GM613" s="203" t="s">
        <v>65</v>
      </c>
      <c r="GN613" s="10">
        <f>GL613*1.3</f>
        <v>284.7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VLOOKUP(GR613,$A$681:$F$2272,6,FALSE)</f>
        <v>14</v>
      </c>
      <c r="GV613" s="203" t="s">
        <v>65</v>
      </c>
      <c r="GW613" s="10">
        <f>GU613*1.3</f>
        <v>18.2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VLOOKUP(HA613,$A$681:$F$2272,6,FALSE)</f>
        <v>236</v>
      </c>
      <c r="HE613" s="203" t="s">
        <v>65</v>
      </c>
      <c r="HF613" s="10">
        <f>HD613*1.3</f>
        <v>306.8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VLOOKUP(HJ613,$A$681:$F$2272,6,FALSE)</f>
        <v>143</v>
      </c>
      <c r="HN613" s="203" t="s">
        <v>65</v>
      </c>
      <c r="HO613" s="10">
        <f>HM613*1.3</f>
        <v>185.9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VLOOKUP(HS613,$A$681:$F$2272,6,FALSE)</f>
        <v>219</v>
      </c>
      <c r="HW613" s="203" t="s">
        <v>65</v>
      </c>
      <c r="HX613" s="10">
        <f>HV613*1.3</f>
        <v>284.7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VLOOKUP(IB613,$A$681:$F$2272,6,FALSE)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VLOOKUP(IK613,$A$681:$F$2272,6,FALSE)</f>
        <v>14</v>
      </c>
      <c r="IO613" s="203" t="s">
        <v>65</v>
      </c>
      <c r="IP613" s="10">
        <f>IN613*1.3</f>
        <v>18.2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VLOOKUP(IT613,$A$681:$F$2272,6,FALSE)</f>
        <v>167</v>
      </c>
      <c r="IX613" s="203" t="s">
        <v>65</v>
      </c>
      <c r="IY613" s="10">
        <f>IW613*1.3</f>
        <v>217.1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VLOOKUP(JC613,$A$681:$F$2272,6,FALSE)</f>
        <v>236</v>
      </c>
      <c r="JG613" s="203" t="s">
        <v>65</v>
      </c>
      <c r="JH613" s="10">
        <f>JF613*1.3</f>
        <v>306.8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VLOOKUP(JL613,$A$681:$F$2272,6,FALSE)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VLOOKUP(JU613,$A$681:$F$2272,6,FALSE)</f>
        <v>167</v>
      </c>
      <c r="JY613" s="203" t="s">
        <v>65</v>
      </c>
      <c r="JZ613" s="10">
        <f>JX613*1.3</f>
        <v>217.1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VLOOKUP(KD613,$A$681:$F$2272,6,FALSE)</f>
        <v>167</v>
      </c>
      <c r="KH613" s="203" t="s">
        <v>65</v>
      </c>
      <c r="KI613" s="10">
        <f>KG613*1.3</f>
        <v>217.1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VLOOKUP(KM613,$A$681:$F$2272,6,FALSE)</f>
        <v>197</v>
      </c>
      <c r="KQ613" s="203" t="s">
        <v>65</v>
      </c>
      <c r="KR613" s="10">
        <f>KP613*1.3</f>
        <v>256.10000000000002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VLOOKUP(KV613,$A$681:$F$2272,6,FALSE)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2293</v>
      </c>
      <c r="LG613" s="204"/>
      <c r="LH613" s="204">
        <f>VLOOKUP(LE613,$A$681:$F$2272,6,FALSE)</f>
        <v>257</v>
      </c>
      <c r="LI613" s="203" t="s">
        <v>65</v>
      </c>
      <c r="LJ613" s="10">
        <f>LH613*1.3</f>
        <v>334.1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VLOOKUP(LN613,$A$681:$F$2272,6,FALSE)</f>
        <v>130</v>
      </c>
      <c r="LR613" s="203" t="s">
        <v>65</v>
      </c>
      <c r="LS613" s="10">
        <f>LQ613*1.3</f>
        <v>169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VLOOKUP(LW613,$A$681:$F$2272,6,FALSE)</f>
        <v>219</v>
      </c>
      <c r="MA613" s="203" t="s">
        <v>65</v>
      </c>
      <c r="MB613" s="10">
        <f>LZ613*1.3</f>
        <v>284.7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VLOOKUP(MF613,$A$681:$F$2272,6,FALSE)</f>
        <v>14</v>
      </c>
      <c r="MJ613" s="203" t="s">
        <v>65</v>
      </c>
      <c r="MK613" s="10">
        <f>MI613*1.3</f>
        <v>18.2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VLOOKUP(MO613,$A$681:$F$2272,6,FALSE)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VLOOKUP(MX613,$A$681:$F$2272,6,FALSE)</f>
        <v>143</v>
      </c>
      <c r="NB613" s="203" t="s">
        <v>65</v>
      </c>
      <c r="NC613" s="10">
        <f>NA613*1.3</f>
        <v>185.9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VLOOKUP(NG613,$A$681:$F$2272,6,FALSE)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VLOOKUP(NP613,$A$681:$F$2272,6,FALSE)</f>
        <v>185</v>
      </c>
      <c r="NT613" s="203" t="s">
        <v>65</v>
      </c>
      <c r="NU613" s="10">
        <f>NS613*1.3</f>
        <v>240.5</v>
      </c>
      <c r="NV613" s="10"/>
      <c r="NW613" s="268"/>
      <c r="NX613" s="203" t="s">
        <v>77</v>
      </c>
      <c r="NY613" s="277" t="s">
        <v>2293</v>
      </c>
      <c r="OA613" s="204"/>
      <c r="OB613" s="204">
        <f>VLOOKUP(NY613,$A$681:$F$2272,6,FALSE)</f>
        <v>257</v>
      </c>
      <c r="OC613" s="203" t="s">
        <v>65</v>
      </c>
      <c r="OD613" s="10">
        <f>OB613*1.3</f>
        <v>334.1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VLOOKUP(OH613,$A$681:$F$2272,6,FALSE)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5" t="s">
        <v>2293</v>
      </c>
      <c r="OS613" s="204"/>
      <c r="OT613" s="204">
        <f>VLOOKUP(OQ613,$A$681:$F$2272,6,FALSE)</f>
        <v>257</v>
      </c>
      <c r="OU613" s="203" t="s">
        <v>65</v>
      </c>
      <c r="OV613" s="10">
        <f>OT613*1.3</f>
        <v>334.1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VLOOKUP(OZ613,$A$681:$F$2272,6,FALSE)</f>
        <v>14</v>
      </c>
      <c r="PD613" s="203" t="s">
        <v>65</v>
      </c>
      <c r="PE613" s="10">
        <f>PC613*1.3</f>
        <v>18.2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VLOOKUP(PI613,$A$681:$F$2272,6,FALSE)</f>
        <v>185</v>
      </c>
      <c r="PM613" s="203" t="s">
        <v>65</v>
      </c>
      <c r="PN613" s="10">
        <f>PL613*1.3</f>
        <v>240.5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VLOOKUP(PR613,$A$681:$F$2272,6,FALSE)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VLOOKUP(QA613,$A$681:$F$2272,6,FALSE)</f>
        <v>167</v>
      </c>
      <c r="QE613" s="203" t="s">
        <v>65</v>
      </c>
      <c r="QF613" s="10">
        <f>QD613*1.3</f>
        <v>217.1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VLOOKUP(QJ613,$A$681:$F$2272,6,FALSE)</f>
        <v>236</v>
      </c>
      <c r="QN613" s="203" t="s">
        <v>65</v>
      </c>
      <c r="QO613" s="10">
        <f>QM613*1.3</f>
        <v>306.8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VLOOKUP(QS613,$A$681:$F$2272,6,FALSE)</f>
        <v>14</v>
      </c>
      <c r="QW613" s="203" t="s">
        <v>65</v>
      </c>
      <c r="QX613" s="10">
        <f>QV613*1.3</f>
        <v>18.2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VLOOKUP(RB613,$A$681:$F$2272,6,FALSE)</f>
        <v>219</v>
      </c>
      <c r="RF613" s="203" t="s">
        <v>65</v>
      </c>
      <c r="RG613" s="10">
        <f>RE613*1.3</f>
        <v>284.7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VLOOKUP(RK613,$A$681:$F$2272,6,FALSE)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VLOOKUP(RT613,$A$681:$F$2272,6,FALSE)</f>
        <v>167</v>
      </c>
      <c r="RX613" s="203" t="s">
        <v>65</v>
      </c>
      <c r="RY613" s="10">
        <f>RW613*1.3</f>
        <v>217.1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VLOOKUP(SC613,$A$681:$F$2272,6,FALSE)</f>
        <v>236</v>
      </c>
      <c r="SG613" s="203" t="s">
        <v>65</v>
      </c>
      <c r="SH613" s="10">
        <f>SF613*1.3</f>
        <v>306.8</v>
      </c>
      <c r="SI613" s="10"/>
      <c r="SJ613" s="274"/>
      <c r="SK613" s="203" t="s">
        <v>77</v>
      </c>
      <c r="SL613" s="277" t="s">
        <v>2293</v>
      </c>
      <c r="SN613" s="204"/>
      <c r="SO613" s="204">
        <f>VLOOKUP(SL613,$A$681:$F$2272,6,FALSE)</f>
        <v>257</v>
      </c>
      <c r="SP613" s="203" t="s">
        <v>65</v>
      </c>
      <c r="SQ613" s="10">
        <f>SO613*1.3</f>
        <v>334.1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VLOOKUP(SU613,$A$681:$F$2272,6,FALSE)</f>
        <v>32</v>
      </c>
      <c r="SY613" s="203" t="s">
        <v>65</v>
      </c>
      <c r="SZ613" s="10">
        <f>SX613*1.3</f>
        <v>41.6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VLOOKUP(TD613,$A$681:$F$2272,6,FALSE)</f>
        <v>130</v>
      </c>
      <c r="TH613" s="203" t="s">
        <v>65</v>
      </c>
      <c r="TI613" s="10">
        <f>TG613*1.3</f>
        <v>169</v>
      </c>
      <c r="TK613" s="274"/>
      <c r="TL613" s="203" t="s">
        <v>77</v>
      </c>
      <c r="TM613" s="277" t="s">
        <v>604</v>
      </c>
      <c r="TO613" s="204"/>
      <c r="TP613" s="204">
        <f>VLOOKUP(TM613,$A$681:$F$2272,6,FALSE)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VLOOKUP(TV613,$A$681:$F$2272,6,FALSE)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VLOOKUP(UE613,$A$681:$F$2272,6,FALSE)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VLOOKUP(UN613,$A$681:$F$2272,6,FALSE)</f>
        <v>130</v>
      </c>
      <c r="UR613" s="203" t="s">
        <v>65</v>
      </c>
      <c r="US613" s="10">
        <f>UQ613*1.3</f>
        <v>169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VLOOKUP(UW613,$A$681:$F$2272,6,FALSE)</f>
        <v>219</v>
      </c>
      <c r="VA613" s="203" t="s">
        <v>65</v>
      </c>
      <c r="VB613" s="10">
        <f>UZ613*1.3</f>
        <v>284.7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VLOOKUP(VF613,$A$681:$F$2272,6,FALSE)</f>
        <v>130</v>
      </c>
      <c r="VJ613" s="203" t="s">
        <v>65</v>
      </c>
      <c r="VK613" s="10">
        <f>VI613*1.3</f>
        <v>169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VLOOKUP(VO613,$A$681:$F$2272,6,FALSE)</f>
        <v>101</v>
      </c>
      <c r="VS613" s="203" t="s">
        <v>65</v>
      </c>
      <c r="VT613" s="10">
        <f>VR613*1.3</f>
        <v>131.30000000000001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VLOOKUP(VX613,$A$681:$F$2272,6,FALSE)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VLOOKUP(WG613,$A$681:$F$2272,6,FALSE)</f>
        <v>159</v>
      </c>
      <c r="WK613" s="203" t="s">
        <v>65</v>
      </c>
      <c r="WL613" s="10">
        <f>WJ613*1.3</f>
        <v>206.70000000000002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VLOOKUP(WP613,$A$681:$F$2272,6,FALSE)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VLOOKUP(WY613,$A$681:$F$2272,6,FALSE)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2293</v>
      </c>
      <c r="XJ613" s="204"/>
      <c r="XK613" s="204">
        <f>VLOOKUP(XH613,$A$681:$F$2272,6,FALSE)</f>
        <v>257</v>
      </c>
      <c r="XL613" s="203" t="s">
        <v>65</v>
      </c>
      <c r="XM613" s="10">
        <f>XK613*1.3</f>
        <v>334.1</v>
      </c>
      <c r="XO613" s="274"/>
      <c r="XP613" s="203" t="s">
        <v>77</v>
      </c>
      <c r="XQ613" s="277" t="s">
        <v>640</v>
      </c>
      <c r="XS613" s="204"/>
      <c r="XT613" s="204">
        <f>VLOOKUP(XQ613,$A$681:$F$2272,6,FALSE)</f>
        <v>167</v>
      </c>
      <c r="XU613" s="203" t="s">
        <v>65</v>
      </c>
      <c r="XV613" s="10">
        <f>XT613*1.3</f>
        <v>217.1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VLOOKUP(XZ613,$A$681:$F$2272,6,FALSE)</f>
        <v>101</v>
      </c>
      <c r="YD613" s="203" t="s">
        <v>65</v>
      </c>
      <c r="YE613" s="10">
        <f>YC613*1.3</f>
        <v>131.30000000000001</v>
      </c>
      <c r="YG613" s="274"/>
      <c r="YH613" s="203" t="s">
        <v>77</v>
      </c>
      <c r="YI613" s="279" t="s">
        <v>183</v>
      </c>
      <c r="YK613" s="204"/>
      <c r="YL613" s="204" t="e">
        <f>VLOOKUP(YI613,$A$681:$F$2272,6,FALSE)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VLOOKUP(YR613,$A$681:$F$2272,6,FALSE)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2293</v>
      </c>
      <c r="ZC613" s="204"/>
      <c r="ZD613" s="204">
        <f>VLOOKUP(ZA613,$A$681:$F$2272,6,FALSE)</f>
        <v>257</v>
      </c>
      <c r="ZE613" s="203" t="s">
        <v>65</v>
      </c>
      <c r="ZF613" s="10">
        <f>ZD613*1.3</f>
        <v>334.1</v>
      </c>
      <c r="ZH613" s="274"/>
      <c r="ZI613" s="203" t="s">
        <v>77</v>
      </c>
      <c r="ZJ613" s="277" t="s">
        <v>462</v>
      </c>
      <c r="ZL613" s="204"/>
      <c r="ZM613" s="204">
        <f>VLOOKUP(ZJ613,$A$681:$F$2272,6,FALSE)</f>
        <v>185</v>
      </c>
      <c r="ZN613" s="203" t="s">
        <v>65</v>
      </c>
      <c r="ZO613" s="10">
        <f>ZM613*1.3</f>
        <v>240.5</v>
      </c>
      <c r="ZQ613" s="274"/>
      <c r="ZR613" s="203" t="s">
        <v>77</v>
      </c>
      <c r="ZS613" s="277" t="s">
        <v>529</v>
      </c>
      <c r="ZU613" s="204"/>
      <c r="ZV613" s="204">
        <f>VLOOKUP(ZS613,$A$681:$F$2272,6,FALSE)</f>
        <v>101</v>
      </c>
      <c r="ZW613" s="203" t="s">
        <v>65</v>
      </c>
      <c r="ZX613" s="10">
        <f>ZV613*1.3</f>
        <v>131.30000000000001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VLOOKUP(AAB613,$A$681:$F$2272,6,FALSE)</f>
        <v>159</v>
      </c>
      <c r="AAF613" s="203" t="s">
        <v>65</v>
      </c>
      <c r="AAG613" s="10">
        <f>AAE613*1.3</f>
        <v>206.70000000000002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VLOOKUP(AAK613,$A$681:$F$2272,6,FALSE)</f>
        <v>159</v>
      </c>
      <c r="AAO613" s="203" t="s">
        <v>65</v>
      </c>
      <c r="AAP613" s="10">
        <f>AAN613*1.3</f>
        <v>206.70000000000002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VLOOKUP(AAT613,$A$681:$F$2272,6,FALSE)</f>
        <v>101</v>
      </c>
      <c r="AAX613" s="203" t="s">
        <v>65</v>
      </c>
      <c r="AAY613" s="10">
        <f>AAW613*1.3</f>
        <v>131.30000000000001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VLOOKUP(ABC613,$A$681:$F$2272,6,FALSE)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VLOOKUP(ABL613,$A$681:$F$2272,6,FALSE)</f>
        <v>130</v>
      </c>
      <c r="ABP613" s="203" t="s">
        <v>65</v>
      </c>
      <c r="ABQ613" s="10">
        <f>ABO613*1.3</f>
        <v>169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VLOOKUP(ABU613,$A$681:$F$2272,6,FALSE)</f>
        <v>143</v>
      </c>
      <c r="ABY613" s="203" t="s">
        <v>65</v>
      </c>
      <c r="ABZ613" s="10">
        <f>ABX613*1.3</f>
        <v>185.9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VLOOKUP(ACD613,$A$681:$F$2272,6,FALSE)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VLOOKUP(ACM613,$A$681:$F$2272,6,FALSE)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VLOOKUP(ACV613,$A$681:$F$2272,6,FALSE)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VLOOKUP(ADE613,$A$681:$F$2272,6,FALSE)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VLOOKUP(ADN613,$A$681:$F$2272,6,FALSE)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VLOOKUP(ADW613,$A$681:$F$2272,6,FALSE)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VLOOKUP(AEF613,$A$681:$F$2272,6,FALSE)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VLOOKUP(AEO613,$A$681:$F$2272,6,FALSE)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VLOOKUP(AEX613,$A$681:$F$2272,6,FALSE)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VLOOKUP(AFG613,$A$681:$F$2272,6,FALSE)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VLOOKUP(AFP613,$A$681:$F$2272,6,FALSE)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VLOOKUP(AFY613,$A$681:$F$2272,6,FALSE)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VLOOKUP(AGH613,$A$681:$F$2272,6,FALSE)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VLOOKUP(AGQ613,$A$681:$F$2272,6,FALSE)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VLOOKUP(AGZ613,$A$681:$F$2272,6,FALSE)</f>
        <v>130</v>
      </c>
      <c r="AHD613" s="203" t="s">
        <v>65</v>
      </c>
      <c r="AHE613" s="10">
        <f>AHC613*1.3</f>
        <v>169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VLOOKUP(AHI613,$A$681:$F$2272,6,FALSE)</f>
        <v>219</v>
      </c>
      <c r="AHM613" s="203" t="s">
        <v>65</v>
      </c>
      <c r="AHN613" s="10">
        <f>AHL613*1.3</f>
        <v>284.7</v>
      </c>
      <c r="AHO613" s="10"/>
      <c r="AHP613" s="274"/>
      <c r="AHQ613" s="203" t="s">
        <v>77</v>
      </c>
      <c r="AHR613" s="277" t="s">
        <v>2293</v>
      </c>
      <c r="AHT613" s="204"/>
      <c r="AHU613" s="204">
        <f>VLOOKUP(AHR613,$A$681:$F$2272,6,FALSE)</f>
        <v>257</v>
      </c>
      <c r="AHV613" s="203" t="s">
        <v>65</v>
      </c>
      <c r="AHW613" s="10">
        <f>AHU613*1.3</f>
        <v>334.1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VLOOKUP(AIA613,$A$681:$F$2272,6,FALSE)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VLOOKUP(AIJ613,$A$681:$F$2272,6,FALSE)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VLOOKUP(AIS613,$A$681:$F$2272,6,FALSE)</f>
        <v>130</v>
      </c>
      <c r="AIW613" s="203" t="s">
        <v>65</v>
      </c>
      <c r="AIX613" s="10">
        <f>AIV613*1.3</f>
        <v>169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VLOOKUP(AJB613,$A$681:$F$2272,6,FALSE)</f>
        <v>14</v>
      </c>
      <c r="AJF613" s="203" t="s">
        <v>65</v>
      </c>
      <c r="AJG613" s="10">
        <f>AJE613*1.3</f>
        <v>18.2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VLOOKUP(AJK613,$A$681:$F$2272,6,FALSE)</f>
        <v>236</v>
      </c>
      <c r="AJO613" s="203" t="s">
        <v>65</v>
      </c>
      <c r="AJP613" s="10">
        <f>AJN613*1.3</f>
        <v>306.8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VLOOKUP(AJT613,$A$681:$F$2272,6,FALSE)</f>
        <v>236</v>
      </c>
      <c r="AJX613" s="203" t="s">
        <v>65</v>
      </c>
      <c r="AJY613" s="10">
        <f>AJW613*1.3</f>
        <v>306.8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VLOOKUP(AKC613,$A$681:$F$2272,6,FALSE)</f>
        <v>167</v>
      </c>
      <c r="AKG613" s="203" t="s">
        <v>65</v>
      </c>
      <c r="AKH613" s="10">
        <f>AKF613*1.3</f>
        <v>217.1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VLOOKUP(AKL613,$A$681:$F$2272,6,FALSE)</f>
        <v>167</v>
      </c>
      <c r="AKP613" s="203" t="s">
        <v>65</v>
      </c>
      <c r="AKQ613" s="10">
        <f>AKO613*1.3</f>
        <v>217.1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VLOOKUP(AKU613,$A$681:$F$2272,6,FALSE)</f>
        <v>167</v>
      </c>
      <c r="AKY613" s="203" t="s">
        <v>65</v>
      </c>
      <c r="AKZ613" s="10">
        <f>AKX613*1.3</f>
        <v>217.1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VLOOKUP(ALD613,$A$681:$F$2272,6,FALSE)</f>
        <v>143</v>
      </c>
      <c r="ALH613" s="203" t="s">
        <v>65</v>
      </c>
      <c r="ALI613" s="10">
        <f>ALG613*1.3</f>
        <v>185.9</v>
      </c>
      <c r="ALJ613" s="10"/>
      <c r="ALK613" s="274"/>
      <c r="ALL613" s="203" t="s">
        <v>77</v>
      </c>
      <c r="ALM613" s="277" t="s">
        <v>2293</v>
      </c>
      <c r="ALO613" s="204"/>
      <c r="ALP613" s="204">
        <f>VLOOKUP(ALM613,$A$681:$F$2272,6,FALSE)</f>
        <v>257</v>
      </c>
      <c r="ALQ613" s="203" t="s">
        <v>65</v>
      </c>
      <c r="ALR613" s="10">
        <f>ALP613*1.3</f>
        <v>334.1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VLOOKUP(ALV613,$A$681:$F$2272,6,FALSE)</f>
        <v>167</v>
      </c>
      <c r="ALZ613" s="203" t="s">
        <v>65</v>
      </c>
      <c r="AMA613" s="10">
        <f>ALY613*1.3</f>
        <v>217.1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VLOOKUP(AME613,$A$681:$F$2272,6,FALSE)</f>
        <v>3</v>
      </c>
      <c r="AMI613" s="203" t="s">
        <v>65</v>
      </c>
      <c r="AMJ613" s="10">
        <f>AMH613*1.3</f>
        <v>3.9000000000000004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VLOOKUP(AMN613,$A$681:$F$2272,6,FALSE)</f>
        <v>101</v>
      </c>
      <c r="AMR613" s="203" t="s">
        <v>65</v>
      </c>
      <c r="AMS613" s="10">
        <f>AMQ613*1.3</f>
        <v>131.30000000000001</v>
      </c>
      <c r="AMT613" s="10"/>
      <c r="AMU613" s="274"/>
      <c r="AMV613" s="203" t="s">
        <v>77</v>
      </c>
      <c r="AMW613" s="277" t="s">
        <v>2293</v>
      </c>
      <c r="AMY613" s="204"/>
      <c r="AMZ613" s="204">
        <f>VLOOKUP(AMW613,$A$681:$F$2272,6,FALSE)</f>
        <v>257</v>
      </c>
      <c r="ANA613" s="203" t="s">
        <v>65</v>
      </c>
      <c r="ANB613" s="10">
        <f>AMZ613*1.3</f>
        <v>334.1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VLOOKUP(ANF613,$A$681:$F$2272,6,FALSE)</f>
        <v>167</v>
      </c>
      <c r="ANJ613" s="203" t="s">
        <v>65</v>
      </c>
      <c r="ANK613" s="10">
        <f>ANI613*1.3</f>
        <v>217.1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VLOOKUP(ANO613,$A$681:$F$2272,6,FALSE)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VLOOKUP(ANX613,$A$681:$F$2272,6,FALSE)</f>
        <v>236</v>
      </c>
      <c r="AOB613" s="203" t="s">
        <v>65</v>
      </c>
      <c r="AOC613" s="10">
        <f>AOA613*1.3</f>
        <v>306.8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VLOOKUP(AOG613,$A$681:$F$2272,6,FALSE)</f>
        <v>143</v>
      </c>
      <c r="AOK613" s="203" t="s">
        <v>65</v>
      </c>
      <c r="AOL613" s="10">
        <f>AOJ613*1.3</f>
        <v>185.9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VLOOKUP(AOP613,$A$681:$F$2272,6,FALSE)</f>
        <v>219</v>
      </c>
      <c r="AOT613" s="203" t="s">
        <v>65</v>
      </c>
      <c r="AOU613" s="10">
        <f>AOS613*1.3</f>
        <v>284.7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VLOOKUP(AOY613,$A$681:$F$2272,6,FALSE)</f>
        <v>219</v>
      </c>
      <c r="APC613" s="203" t="s">
        <v>65</v>
      </c>
      <c r="APD613" s="10">
        <f>APB613*1.3</f>
        <v>284.7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VLOOKUP(APH613,$A$681:$F$2272,6,FALSE)</f>
        <v>130</v>
      </c>
      <c r="APL613" s="203" t="s">
        <v>65</v>
      </c>
      <c r="APM613" s="10">
        <f>APK613*1.3</f>
        <v>169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VLOOKUP(APQ613,$A$681:$F$2272,6,FALSE)</f>
        <v>101</v>
      </c>
      <c r="APU613" s="203" t="s">
        <v>65</v>
      </c>
      <c r="APV613" s="10">
        <f>APT613*1.3</f>
        <v>131.30000000000001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VLOOKUP(APZ613,$A$681:$F$2272,6,FALSE)</f>
        <v>32</v>
      </c>
      <c r="AQD613" s="203" t="s">
        <v>65</v>
      </c>
      <c r="AQE613" s="10">
        <f>AQC613*1.3</f>
        <v>41.6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VLOOKUP(B614,$A$681:$F$2272,6,FALSE)</f>
        <v>167</v>
      </c>
      <c r="F614" s="203" t="s">
        <v>67</v>
      </c>
      <c r="G614" s="10">
        <f>E614*1.2</f>
        <v>200.4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VLOOKUP(K614,$A$681:$F$2272,6,FALSE)</f>
        <v>159</v>
      </c>
      <c r="O614" s="203" t="s">
        <v>67</v>
      </c>
      <c r="P614" s="10">
        <f>N614*1.2</f>
        <v>190.79999999999998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VLOOKUP(T614,$A$681:$F$2272,6,FALSE)</f>
        <v>130</v>
      </c>
      <c r="X614" s="203" t="s">
        <v>67</v>
      </c>
      <c r="Y614" s="10">
        <f>W614*1.2</f>
        <v>156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VLOOKUP(AC614,$A$681:$F$2272,6,FALSE)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2293</v>
      </c>
      <c r="AN614" s="204"/>
      <c r="AO614" s="204">
        <f>VLOOKUP(AL614,$A$681:$F$2272,6,FALSE)</f>
        <v>257</v>
      </c>
      <c r="AP614" s="203" t="s">
        <v>67</v>
      </c>
      <c r="AQ614" s="10">
        <f>AO614*1.2</f>
        <v>308.39999999999998</v>
      </c>
      <c r="AR614" s="10"/>
      <c r="AS614" s="268"/>
      <c r="AT614" s="203" t="s">
        <v>78</v>
      </c>
      <c r="AU614" s="277" t="s">
        <v>2293</v>
      </c>
      <c r="AW614" s="204"/>
      <c r="AX614" s="204">
        <f>VLOOKUP(AU614,$A$681:$F$2272,6,FALSE)</f>
        <v>257</v>
      </c>
      <c r="AY614" s="203" t="s">
        <v>67</v>
      </c>
      <c r="AZ614" s="10">
        <f>AX614*1.2</f>
        <v>308.39999999999998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VLOOKUP(BD614,$A$681:$F$2272,6,FALSE)</f>
        <v>159</v>
      </c>
      <c r="BH614" s="203" t="s">
        <v>67</v>
      </c>
      <c r="BI614" s="10">
        <f>BG614*1.2</f>
        <v>190.79999999999998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VLOOKUP(BM614,$A$681:$F$2272,6,FALSE)</f>
        <v>130</v>
      </c>
      <c r="BQ614" s="203" t="s">
        <v>67</v>
      </c>
      <c r="BR614" s="10">
        <f>BP614*1.2</f>
        <v>156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VLOOKUP(BV614,$A$681:$F$2272,6,FALSE)</f>
        <v>236</v>
      </c>
      <c r="BZ614" s="203" t="s">
        <v>67</v>
      </c>
      <c r="CA614" s="10">
        <f>BY614*1.2</f>
        <v>283.2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VLOOKUP(CE614,$A$681:$F$2272,6,FALSE)</f>
        <v>197</v>
      </c>
      <c r="CI614" s="203" t="s">
        <v>67</v>
      </c>
      <c r="CJ614" s="10">
        <f>CH614*1.2</f>
        <v>236.39999999999998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VLOOKUP(CN614,$A$681:$F$2272,6,FALSE)</f>
        <v>14</v>
      </c>
      <c r="CR614" s="203" t="s">
        <v>67</v>
      </c>
      <c r="CS614" s="10">
        <f>CQ614*1.2</f>
        <v>16.8</v>
      </c>
      <c r="CT614" s="10"/>
      <c r="CU614" s="268"/>
      <c r="CV614" s="203" t="s">
        <v>78</v>
      </c>
      <c r="CW614" s="277" t="s">
        <v>2293</v>
      </c>
      <c r="CY614" s="204"/>
      <c r="CZ614" s="204">
        <f>VLOOKUP(CW614,$A$681:$F$2272,6,FALSE)</f>
        <v>257</v>
      </c>
      <c r="DA614" s="203" t="s">
        <v>67</v>
      </c>
      <c r="DB614" s="10">
        <f>CZ614*1.2</f>
        <v>308.39999999999998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VLOOKUP(DF614,$A$681:$F$2272,6,FALSE)</f>
        <v>143</v>
      </c>
      <c r="DJ614" s="203" t="s">
        <v>67</v>
      </c>
      <c r="DK614" s="10">
        <f>DI614*1.2</f>
        <v>171.6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VLOOKUP(DO614,$A$681:$F$2272,6,FALSE)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VLOOKUP(DX614,$A$681:$F$2272,6,FALSE)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VLOOKUP(EG614,$A$681:$F$2272,6,FALSE)</f>
        <v>197</v>
      </c>
      <c r="EK614" s="203" t="s">
        <v>67</v>
      </c>
      <c r="EL614" s="10">
        <f>EJ614*1.2</f>
        <v>236.39999999999998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VLOOKUP(EP614,$A$681:$F$2272,6,FALSE)</f>
        <v>101</v>
      </c>
      <c r="ET614" s="203" t="s">
        <v>67</v>
      </c>
      <c r="EU614" s="10">
        <f>ES614*1.2</f>
        <v>121.19999999999999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VLOOKUP(EY614,$A$681:$F$2272,6,FALSE)</f>
        <v>159</v>
      </c>
      <c r="FC614" s="203" t="s">
        <v>67</v>
      </c>
      <c r="FD614" s="10">
        <f>FB614*1.2</f>
        <v>190.79999999999998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VLOOKUP(FH614,$A$681:$F$2272,6,FALSE)</f>
        <v>14</v>
      </c>
      <c r="FL614" s="203" t="s">
        <v>67</v>
      </c>
      <c r="FM614" s="10">
        <f>FK614*1.2</f>
        <v>16.8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VLOOKUP(FQ614,$A$681:$F$2272,6,FALSE)</f>
        <v>236</v>
      </c>
      <c r="FU614" s="203" t="s">
        <v>67</v>
      </c>
      <c r="FV614" s="10">
        <f>FT614*1.2</f>
        <v>283.2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VLOOKUP(FZ614,$A$681:$F$2272,6,FALSE)</f>
        <v>236</v>
      </c>
      <c r="GD614" s="203" t="s">
        <v>67</v>
      </c>
      <c r="GE614" s="10">
        <f>GC614*1.2</f>
        <v>283.2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VLOOKUP(GI614,$A$681:$F$2272,6,FALSE)</f>
        <v>143</v>
      </c>
      <c r="GM614" s="203" t="s">
        <v>67</v>
      </c>
      <c r="GN614" s="10">
        <f>GL614*1.2</f>
        <v>171.6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VLOOKUP(GR614,$A$681:$F$2272,6,FALSE)</f>
        <v>130</v>
      </c>
      <c r="GV614" s="203" t="s">
        <v>67</v>
      </c>
      <c r="GW614" s="10">
        <f>GU614*1.2</f>
        <v>156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VLOOKUP(HA614,$A$681:$F$2272,6,FALSE)</f>
        <v>14</v>
      </c>
      <c r="HE614" s="203" t="s">
        <v>67</v>
      </c>
      <c r="HF614" s="10">
        <f>HD614*1.2</f>
        <v>16.8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VLOOKUP(HJ614,$A$681:$F$2272,6,FALSE)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VLOOKUP(HS614,$A$681:$F$2272,6,FALSE)</f>
        <v>32</v>
      </c>
      <c r="HW614" s="203" t="s">
        <v>67</v>
      </c>
      <c r="HX614" s="10">
        <f>HV614*1.2</f>
        <v>38.4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VLOOKUP(IB614,$A$681:$F$2272,6,FALSE)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2293</v>
      </c>
      <c r="IM614" s="204"/>
      <c r="IN614" s="204">
        <f>VLOOKUP(IK614,$A$681:$F$2272,6,FALSE)</f>
        <v>257</v>
      </c>
      <c r="IO614" s="203" t="s">
        <v>67</v>
      </c>
      <c r="IP614" s="10">
        <f>IN614*1.2</f>
        <v>308.39999999999998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VLOOKUP(IT614,$A$681:$F$2272,6,FALSE)</f>
        <v>159</v>
      </c>
      <c r="IX614" s="203" t="s">
        <v>67</v>
      </c>
      <c r="IY614" s="10">
        <f>IW614*1.2</f>
        <v>190.79999999999998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VLOOKUP(JC614,$A$681:$F$2272,6,FALSE)</f>
        <v>14</v>
      </c>
      <c r="JG614" s="203" t="s">
        <v>67</v>
      </c>
      <c r="JH614" s="10">
        <f>JF614*1.2</f>
        <v>16.8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VLOOKUP(JL614,$A$681:$F$2272,6,FALSE)</f>
        <v>3</v>
      </c>
      <c r="JP614" s="203" t="s">
        <v>67</v>
      </c>
      <c r="JQ614" s="10">
        <f>JO614*1.2</f>
        <v>3.5999999999999996</v>
      </c>
      <c r="JR614" s="10"/>
      <c r="JS614" s="268"/>
      <c r="JT614" s="203" t="s">
        <v>78</v>
      </c>
      <c r="JU614" s="277" t="s">
        <v>2293</v>
      </c>
      <c r="JW614" s="204"/>
      <c r="JX614" s="204">
        <f>VLOOKUP(JU614,$A$681:$F$2272,6,FALSE)</f>
        <v>257</v>
      </c>
      <c r="JY614" s="203" t="s">
        <v>67</v>
      </c>
      <c r="JZ614" s="10">
        <f>JX614*1.2</f>
        <v>308.39999999999998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VLOOKUP(KD614,$A$681:$F$2272,6,FALSE)</f>
        <v>236</v>
      </c>
      <c r="KH614" s="203" t="s">
        <v>67</v>
      </c>
      <c r="KI614" s="10">
        <f>KG614*1.2</f>
        <v>283.2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VLOOKUP(KM614,$A$681:$F$2272,6,FALSE)</f>
        <v>3</v>
      </c>
      <c r="KQ614" s="203" t="s">
        <v>67</v>
      </c>
      <c r="KR614" s="10">
        <f>KP614*1.2</f>
        <v>3.5999999999999996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VLOOKUP(KV614,$A$681:$F$2272,6,FALSE)</f>
        <v>167</v>
      </c>
      <c r="KZ614" s="203" t="s">
        <v>67</v>
      </c>
      <c r="LA614" s="10">
        <f>KY614*1.2</f>
        <v>200.4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VLOOKUP(LE614,$A$681:$F$2272,6,FALSE)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VLOOKUP(LN614,$A$681:$F$2272,6,FALSE)</f>
        <v>197</v>
      </c>
      <c r="LR614" s="203" t="s">
        <v>67</v>
      </c>
      <c r="LS614" s="10">
        <f>LQ614*1.2</f>
        <v>236.39999999999998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VLOOKUP(LW614,$A$681:$F$2272,6,FALSE)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VLOOKUP(MF614,$A$681:$F$2272,6,FALSE)</f>
        <v>167</v>
      </c>
      <c r="MJ614" s="203" t="s">
        <v>67</v>
      </c>
      <c r="MK614" s="10">
        <f>MI614*1.2</f>
        <v>200.4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VLOOKUP(MO614,$A$681:$F$2272,6,FALSE)</f>
        <v>130</v>
      </c>
      <c r="MS614" s="203" t="s">
        <v>67</v>
      </c>
      <c r="MT614" s="10">
        <f>MR614*1.2</f>
        <v>156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VLOOKUP(MX614,$A$681:$F$2272,6,FALSE)</f>
        <v>197</v>
      </c>
      <c r="NB614" s="203" t="s">
        <v>67</v>
      </c>
      <c r="NC614" s="10">
        <f>NA614*1.2</f>
        <v>236.39999999999998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VLOOKUP(NG614,$A$681:$F$2272,6,FALSE)</f>
        <v>167</v>
      </c>
      <c r="NK614" s="203" t="s">
        <v>67</v>
      </c>
      <c r="NL614" s="10">
        <f>NJ614*1.2</f>
        <v>200.4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VLOOKUP(NP614,$A$681:$F$2272,6,FALSE)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VLOOKUP(NY614,$A$681:$F$2272,6,FALSE)</f>
        <v>219</v>
      </c>
      <c r="OC614" s="203" t="s">
        <v>67</v>
      </c>
      <c r="OD614" s="10">
        <f>OB614*1.2</f>
        <v>262.8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VLOOKUP(OH614,$A$681:$F$2272,6,FALSE)</f>
        <v>14</v>
      </c>
      <c r="OL614" s="203" t="s">
        <v>67</v>
      </c>
      <c r="OM614" s="10">
        <f>OK614*1.2</f>
        <v>16.8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VLOOKUP(OQ614,$A$681:$F$2272,6,FALSE)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VLOOKUP(OZ614,$A$681:$F$2272,6,FALSE)</f>
        <v>219</v>
      </c>
      <c r="PD614" s="203" t="s">
        <v>67</v>
      </c>
      <c r="PE614" s="10">
        <f>PC614*1.2</f>
        <v>262.8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VLOOKUP(PI614,$A$681:$F$2272,6,FALSE)</f>
        <v>159</v>
      </c>
      <c r="PM614" s="203" t="s">
        <v>67</v>
      </c>
      <c r="PN614" s="10">
        <f>PL614*1.2</f>
        <v>190.79999999999998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VLOOKUP(PR614,$A$681:$F$2272,6,FALSE)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VLOOKUP(QA614,$A$681:$F$2272,6,FALSE)</f>
        <v>32</v>
      </c>
      <c r="QE614" s="203" t="s">
        <v>67</v>
      </c>
      <c r="QF614" s="10">
        <f>QD614*1.2</f>
        <v>38.4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VLOOKUP(QJ614,$A$681:$F$2272,6,FALSE)</f>
        <v>167</v>
      </c>
      <c r="QN614" s="203" t="s">
        <v>67</v>
      </c>
      <c r="QO614" s="10">
        <f>QM614*1.2</f>
        <v>200.4</v>
      </c>
      <c r="QP614" s="10"/>
      <c r="QQ614" s="268"/>
      <c r="QR614" s="203" t="s">
        <v>78</v>
      </c>
      <c r="QS614" s="277" t="s">
        <v>2293</v>
      </c>
      <c r="QU614" s="204"/>
      <c r="QV614" s="204">
        <f>VLOOKUP(QS614,$A$681:$F$2272,6,FALSE)</f>
        <v>257</v>
      </c>
      <c r="QW614" s="203" t="s">
        <v>67</v>
      </c>
      <c r="QX614" s="10">
        <f>QV614*1.2</f>
        <v>308.39999999999998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VLOOKUP(RB614,$A$681:$F$2272,6,FALSE)</f>
        <v>130</v>
      </c>
      <c r="RF614" s="203" t="s">
        <v>67</v>
      </c>
      <c r="RG614" s="10">
        <f>RE614*1.2</f>
        <v>156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VLOOKUP(RK614,$A$681:$F$2272,6,FALSE)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VLOOKUP(RT614,$A$681:$F$2272,6,FALSE)</f>
        <v>219</v>
      </c>
      <c r="RX614" s="203" t="s">
        <v>67</v>
      </c>
      <c r="RY614" s="10">
        <f>RW614*1.2</f>
        <v>262.8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VLOOKUP(SC614,$A$681:$F$2272,6,FALSE)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VLOOKUP(SL614,$A$681:$F$2272,6,FALSE)</f>
        <v>130</v>
      </c>
      <c r="SP614" s="203" t="s">
        <v>67</v>
      </c>
      <c r="SQ614" s="10">
        <f>SO614*1.2</f>
        <v>156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VLOOKUP(SU614,$A$681:$F$2272,6,FALSE)</f>
        <v>3</v>
      </c>
      <c r="SY614" s="203" t="s">
        <v>67</v>
      </c>
      <c r="SZ614" s="10">
        <f>SX614*1.2</f>
        <v>3.5999999999999996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VLOOKUP(TD614,$A$681:$F$2272,6,FALSE)</f>
        <v>14</v>
      </c>
      <c r="TH614" s="203" t="s">
        <v>67</v>
      </c>
      <c r="TI614" s="10">
        <f>TG614*1.2</f>
        <v>16.8</v>
      </c>
      <c r="TK614" s="274"/>
      <c r="TL614" s="203" t="s">
        <v>78</v>
      </c>
      <c r="TM614" s="277" t="s">
        <v>462</v>
      </c>
      <c r="TO614" s="204"/>
      <c r="TP614" s="204">
        <f>VLOOKUP(TM614,$A$681:$F$2272,6,FALSE)</f>
        <v>185</v>
      </c>
      <c r="TQ614" s="203" t="s">
        <v>67</v>
      </c>
      <c r="TR614" s="10">
        <f>TP614*1.2</f>
        <v>222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VLOOKUP(TV614,$A$681:$F$2272,6,FALSE)</f>
        <v>167</v>
      </c>
      <c r="TZ614" s="203" t="s">
        <v>67</v>
      </c>
      <c r="UA614" s="10">
        <f>TY614*1.2</f>
        <v>200.4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VLOOKUP(UE614,$A$681:$F$2272,6,FALSE)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VLOOKUP(UN614,$A$681:$F$2272,6,FALSE)</f>
        <v>236</v>
      </c>
      <c r="UR614" s="203" t="s">
        <v>67</v>
      </c>
      <c r="US614" s="10">
        <f>UQ614*1.2</f>
        <v>283.2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VLOOKUP(UW614,$A$681:$F$2272,6,FALSE)</f>
        <v>197</v>
      </c>
      <c r="VA614" s="203" t="s">
        <v>67</v>
      </c>
      <c r="VB614" s="10">
        <f>UZ614*1.2</f>
        <v>236.39999999999998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VLOOKUP(VF614,$A$681:$F$2272,6,FALSE)</f>
        <v>143</v>
      </c>
      <c r="VJ614" s="203" t="s">
        <v>67</v>
      </c>
      <c r="VK614" s="10">
        <f>VI614*1.2</f>
        <v>171.6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VLOOKUP(VO614,$A$681:$F$2272,6,FALSE)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VLOOKUP(VX614,$A$681:$F$2272,6,FALSE)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VLOOKUP(WG614,$A$681:$F$2272,6,FALSE)</f>
        <v>32</v>
      </c>
      <c r="WK614" s="203" t="s">
        <v>67</v>
      </c>
      <c r="WL614" s="10">
        <f>WJ614*1.2</f>
        <v>38.4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VLOOKUP(WP614,$A$681:$F$2272,6,FALSE)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VLOOKUP(WY614,$A$681:$F$2272,6,FALSE)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VLOOKUP(XH614,$A$681:$F$2272,6,FALSE)</f>
        <v>185</v>
      </c>
      <c r="XL614" s="203" t="s">
        <v>67</v>
      </c>
      <c r="XM614" s="10">
        <f>XK614*1.2</f>
        <v>222</v>
      </c>
      <c r="XO614" s="274"/>
      <c r="XP614" s="203" t="s">
        <v>78</v>
      </c>
      <c r="XQ614" s="277" t="s">
        <v>1263</v>
      </c>
      <c r="XS614" s="204"/>
      <c r="XT614" s="204">
        <f>VLOOKUP(XQ614,$A$681:$F$2272,6,FALSE)</f>
        <v>236</v>
      </c>
      <c r="XU614" s="203" t="s">
        <v>67</v>
      </c>
      <c r="XV614" s="10">
        <f>XT614*1.2</f>
        <v>283.2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VLOOKUP(XZ614,$A$681:$F$2272,6,FALSE)</f>
        <v>236</v>
      </c>
      <c r="YD614" s="203" t="s">
        <v>67</v>
      </c>
      <c r="YE614" s="10">
        <f>YC614*1.2</f>
        <v>283.2</v>
      </c>
      <c r="YG614" s="274"/>
      <c r="YH614" s="203" t="s">
        <v>78</v>
      </c>
      <c r="YI614" s="279" t="s">
        <v>183</v>
      </c>
      <c r="YK614" s="204"/>
      <c r="YL614" s="204" t="e">
        <f>VLOOKUP(YI614,$A$681:$F$2272,6,FALSE)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VLOOKUP(YR614,$A$681:$F$2272,6,FALSE)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VLOOKUP(ZA614,$A$681:$F$2272,6,FALSE)</f>
        <v>236</v>
      </c>
      <c r="ZE614" s="203" t="s">
        <v>67</v>
      </c>
      <c r="ZF614" s="10">
        <f>ZD614*1.2</f>
        <v>283.2</v>
      </c>
      <c r="ZH614" s="274"/>
      <c r="ZI614" s="203" t="s">
        <v>78</v>
      </c>
      <c r="ZJ614" s="277" t="s">
        <v>518</v>
      </c>
      <c r="ZL614" s="204"/>
      <c r="ZM614" s="204">
        <f>VLOOKUP(ZJ614,$A$681:$F$2272,6,FALSE)</f>
        <v>219</v>
      </c>
      <c r="ZN614" s="203" t="s">
        <v>67</v>
      </c>
      <c r="ZO614" s="10">
        <f>ZM614*1.2</f>
        <v>262.8</v>
      </c>
      <c r="ZQ614" s="274"/>
      <c r="ZR614" s="203" t="s">
        <v>78</v>
      </c>
      <c r="ZS614" s="277" t="s">
        <v>421</v>
      </c>
      <c r="ZU614" s="204"/>
      <c r="ZV614" s="204">
        <f>VLOOKUP(ZS614,$A$681:$F$2272,6,FALSE)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VLOOKUP(AAB614,$A$681:$F$2272,6,FALSE)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VLOOKUP(AAK614,$A$681:$F$2272,6,FALSE)</f>
        <v>143</v>
      </c>
      <c r="AAO614" s="203" t="s">
        <v>67</v>
      </c>
      <c r="AAP614" s="10">
        <f>AAN614*1.2</f>
        <v>171.6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VLOOKUP(AAT614,$A$681:$F$2272,6,FALSE)</f>
        <v>159</v>
      </c>
      <c r="AAX614" s="203" t="s">
        <v>67</v>
      </c>
      <c r="AAY614" s="10">
        <f>AAW614*1.2</f>
        <v>190.79999999999998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VLOOKUP(ABC614,$A$681:$F$2272,6,FALSE)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VLOOKUP(ABL614,$A$681:$F$2272,6,FALSE)</f>
        <v>185</v>
      </c>
      <c r="ABP614" s="203" t="s">
        <v>67</v>
      </c>
      <c r="ABQ614" s="10">
        <f>ABO614*1.2</f>
        <v>222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VLOOKUP(ABU614,$A$681:$F$2272,6,FALSE)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VLOOKUP(ACD614,$A$681:$F$2272,6,FALSE)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VLOOKUP(ACM614,$A$681:$F$2272,6,FALSE)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VLOOKUP(ACV614,$A$681:$F$2272,6,FALSE)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VLOOKUP(ADE614,$A$681:$F$2272,6,FALSE)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VLOOKUP(ADN614,$A$681:$F$2272,6,FALSE)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VLOOKUP(ADW614,$A$681:$F$2272,6,FALSE)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VLOOKUP(AEF614,$A$681:$F$2272,6,FALSE)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VLOOKUP(AEO614,$A$681:$F$2272,6,FALSE)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VLOOKUP(AEX614,$A$681:$F$2272,6,FALSE)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VLOOKUP(AFG614,$A$681:$F$2272,6,FALSE)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VLOOKUP(AFP614,$A$681:$F$2272,6,FALSE)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VLOOKUP(AFY614,$A$681:$F$2272,6,FALSE)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VLOOKUP(AGH614,$A$681:$F$2272,6,FALSE)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VLOOKUP(AGQ614,$A$681:$F$2272,6,FALSE)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VLOOKUP(AGZ614,$A$681:$F$2272,6,FALSE)</f>
        <v>236</v>
      </c>
      <c r="AHD614" s="203" t="s">
        <v>67</v>
      </c>
      <c r="AHE614" s="10">
        <f>AHC614*1.2</f>
        <v>283.2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VLOOKUP(AHI614,$A$681:$F$2272,6,FALSE)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VLOOKUP(AHR614,$A$681:$F$2272,6,FALSE)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VLOOKUP(AIA614,$A$681:$F$2272,6,FALSE)</f>
        <v>185</v>
      </c>
      <c r="AIE614" s="203" t="s">
        <v>67</v>
      </c>
      <c r="AIF614" s="10">
        <f>AID614*1.2</f>
        <v>222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VLOOKUP(AIJ614,$A$681:$F$2272,6,FALSE)</f>
        <v>236</v>
      </c>
      <c r="AIN614" s="203" t="s">
        <v>67</v>
      </c>
      <c r="AIO614" s="10">
        <f>AIM614*1.2</f>
        <v>283.2</v>
      </c>
      <c r="AIP614" s="10"/>
      <c r="AIQ614" s="274"/>
      <c r="AIR614" s="203" t="s">
        <v>78</v>
      </c>
      <c r="AIS614" s="277" t="s">
        <v>2293</v>
      </c>
      <c r="AIU614" s="204"/>
      <c r="AIV614" s="204">
        <f>VLOOKUP(AIS614,$A$681:$F$2272,6,FALSE)</f>
        <v>257</v>
      </c>
      <c r="AIW614" s="203" t="s">
        <v>67</v>
      </c>
      <c r="AIX614" s="10">
        <f>AIV614*1.2</f>
        <v>308.39999999999998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VLOOKUP(AJB614,$A$681:$F$2272,6,FALSE)</f>
        <v>130</v>
      </c>
      <c r="AJF614" s="203" t="s">
        <v>67</v>
      </c>
      <c r="AJG614" s="10">
        <f>AJE614*1.2</f>
        <v>156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VLOOKUP(AJK614,$A$681:$F$2272,6,FALSE)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VLOOKUP(AJT614,$A$681:$F$2272,6,FALSE)</f>
        <v>130</v>
      </c>
      <c r="AJX614" s="203" t="s">
        <v>67</v>
      </c>
      <c r="AJY614" s="10">
        <f>AJW614*1.2</f>
        <v>156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VLOOKUP(AKC614,$A$681:$F$2272,6,FALSE)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VLOOKUP(AKL614,$A$681:$F$2272,6,FALSE)</f>
        <v>143</v>
      </c>
      <c r="AKP614" s="203" t="s">
        <v>67</v>
      </c>
      <c r="AKQ614" s="10">
        <f>AKO614*1.2</f>
        <v>171.6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VLOOKUP(AKU614,$A$681:$F$2272,6,FALSE)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VLOOKUP(ALD614,$A$681:$F$2272,6,FALSE)</f>
        <v>101</v>
      </c>
      <c r="ALH614" s="203" t="s">
        <v>67</v>
      </c>
      <c r="ALI614" s="10">
        <f>ALG614*1.2</f>
        <v>121.19999999999999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VLOOKUP(ALM614,$A$681:$F$2272,6,FALSE)</f>
        <v>167</v>
      </c>
      <c r="ALQ614" s="203" t="s">
        <v>67</v>
      </c>
      <c r="ALR614" s="10">
        <f>ALP614*1.2</f>
        <v>200.4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VLOOKUP(ALV614,$A$681:$F$2272,6,FALSE)</f>
        <v>197</v>
      </c>
      <c r="ALZ614" s="203" t="s">
        <v>67</v>
      </c>
      <c r="AMA614" s="10">
        <f>ALY614*1.2</f>
        <v>236.39999999999998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VLOOKUP(AME614,$A$681:$F$2272,6,FALSE)</f>
        <v>219</v>
      </c>
      <c r="AMI614" s="203" t="s">
        <v>67</v>
      </c>
      <c r="AMJ614" s="10">
        <f>AMH614*1.2</f>
        <v>262.8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VLOOKUP(AMN614,$A$681:$F$2272,6,FALSE)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VLOOKUP(AMW614,$A$681:$F$2272,6,FALSE)</f>
        <v>14</v>
      </c>
      <c r="ANA614" s="203" t="s">
        <v>67</v>
      </c>
      <c r="ANB614" s="10">
        <f>AMZ614*1.2</f>
        <v>16.8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VLOOKUP(ANF614,$A$681:$F$2272,6,FALSE)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VLOOKUP(ANO614,$A$681:$F$2272,6,FALSE)</f>
        <v>236</v>
      </c>
      <c r="ANS614" s="203" t="s">
        <v>67</v>
      </c>
      <c r="ANT614" s="10">
        <f>ANR614*1.2</f>
        <v>283.2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VLOOKUP(ANX614,$A$681:$F$2272,6,FALSE)</f>
        <v>32</v>
      </c>
      <c r="AOB614" s="203" t="s">
        <v>67</v>
      </c>
      <c r="AOC614" s="10">
        <f>AOA614*1.2</f>
        <v>38.4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VLOOKUP(AOG614,$A$681:$F$2272,6,FALSE)</f>
        <v>130</v>
      </c>
      <c r="AOK614" s="203" t="s">
        <v>67</v>
      </c>
      <c r="AOL614" s="10">
        <f>AOJ614*1.2</f>
        <v>156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VLOOKUP(AOP614,$A$681:$F$2272,6,FALSE)</f>
        <v>130</v>
      </c>
      <c r="AOT614" s="203" t="s">
        <v>67</v>
      </c>
      <c r="AOU614" s="10">
        <f>AOS614*1.2</f>
        <v>156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VLOOKUP(AOY614,$A$681:$F$2272,6,FALSE)</f>
        <v>14</v>
      </c>
      <c r="APC614" s="203" t="s">
        <v>67</v>
      </c>
      <c r="APD614" s="10">
        <f>APB614*1.2</f>
        <v>16.8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VLOOKUP(APH614,$A$681:$F$2272,6,FALSE)</f>
        <v>219</v>
      </c>
      <c r="APL614" s="203" t="s">
        <v>67</v>
      </c>
      <c r="APM614" s="10">
        <f>APK614*1.2</f>
        <v>262.8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VLOOKUP(APQ614,$A$681:$F$2272,6,FALSE)</f>
        <v>236</v>
      </c>
      <c r="APU614" s="203" t="s">
        <v>67</v>
      </c>
      <c r="APV614" s="10">
        <f>APT614*1.2</f>
        <v>283.2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VLOOKUP(APZ614,$A$681:$F$2272,6,FALSE)</f>
        <v>236</v>
      </c>
      <c r="AQD614" s="203" t="s">
        <v>67</v>
      </c>
      <c r="AQE614" s="10">
        <f>AQC614*1.2</f>
        <v>283.2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VLOOKUP(B615,$A$681:$F$2272,6,FALSE)</f>
        <v>130</v>
      </c>
      <c r="F615" s="203" t="s">
        <v>69</v>
      </c>
      <c r="G615" s="10">
        <f>E615*1.1</f>
        <v>143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VLOOKUP(K615,$A$681:$F$2272,6,FALSE)</f>
        <v>185</v>
      </c>
      <c r="O615" s="203" t="s">
        <v>69</v>
      </c>
      <c r="P615" s="10">
        <f>N615*1.1</f>
        <v>203.50000000000003</v>
      </c>
      <c r="Q615" s="10"/>
      <c r="R615" s="268"/>
      <c r="S615" s="203" t="s">
        <v>79</v>
      </c>
      <c r="T615" s="277" t="s">
        <v>2293</v>
      </c>
      <c r="V615" s="204"/>
      <c r="W615" s="204">
        <f>VLOOKUP(T615,$A$681:$F$2272,6,FALSE)</f>
        <v>257</v>
      </c>
      <c r="X615" s="203" t="s">
        <v>69</v>
      </c>
      <c r="Y615" s="10">
        <f>W615*1.1</f>
        <v>282.70000000000005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VLOOKUP(AC615,$A$681:$F$2272,6,FALSE)</f>
        <v>130</v>
      </c>
      <c r="AG615" s="203" t="s">
        <v>69</v>
      </c>
      <c r="AH615" s="10">
        <f>AF615*1.1</f>
        <v>143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VLOOKUP(AL615,$A$681:$F$2272,6,FALSE)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VLOOKUP(AU615,$A$681:$F$2272,6,FALSE)</f>
        <v>130</v>
      </c>
      <c r="AY615" s="203" t="s">
        <v>69</v>
      </c>
      <c r="AZ615" s="10">
        <f>AX615*1.1</f>
        <v>143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VLOOKUP(BD615,$A$681:$F$2272,6,FALSE)</f>
        <v>167</v>
      </c>
      <c r="BH615" s="203" t="s">
        <v>69</v>
      </c>
      <c r="BI615" s="10">
        <f>BG615*1.1</f>
        <v>183.70000000000002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VLOOKUP(BM615,$A$681:$F$2272,6,FALSE)</f>
        <v>219</v>
      </c>
      <c r="BQ615" s="203" t="s">
        <v>69</v>
      </c>
      <c r="BR615" s="10">
        <f>BP615*1.1</f>
        <v>240.9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VLOOKUP(BV615,$A$681:$F$2272,6,FALSE)</f>
        <v>185</v>
      </c>
      <c r="BZ615" s="203" t="s">
        <v>69</v>
      </c>
      <c r="CA615" s="10">
        <f>BY615*1.1</f>
        <v>203.50000000000003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VLOOKUP(CE615,$A$681:$F$2272,6,FALSE)</f>
        <v>130</v>
      </c>
      <c r="CI615" s="203" t="s">
        <v>69</v>
      </c>
      <c r="CJ615" s="10">
        <f>CH615*1.1</f>
        <v>143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VLOOKUP(CN615,$A$681:$F$2272,6,FALSE)</f>
        <v>101</v>
      </c>
      <c r="CR615" s="203" t="s">
        <v>69</v>
      </c>
      <c r="CS615" s="10">
        <f>CQ615*1.1</f>
        <v>111.10000000000001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VLOOKUP(CW615,$A$681:$F$2272,6,FALSE)</f>
        <v>167</v>
      </c>
      <c r="DA615" s="203" t="s">
        <v>69</v>
      </c>
      <c r="DB615" s="10">
        <f>CZ615*1.1</f>
        <v>183.70000000000002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VLOOKUP(DF615,$A$681:$F$2272,6,FALSE)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2293</v>
      </c>
      <c r="DQ615" s="204"/>
      <c r="DR615" s="204">
        <f>VLOOKUP(DO615,$A$681:$F$2272,6,FALSE)</f>
        <v>257</v>
      </c>
      <c r="DS615" s="203" t="s">
        <v>69</v>
      </c>
      <c r="DT615" s="10">
        <f>DR615*1.1</f>
        <v>282.70000000000005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VLOOKUP(DX615,$A$681:$F$2272,6,FALSE)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VLOOKUP(EG615,$A$681:$F$2272,6,FALSE)</f>
        <v>236</v>
      </c>
      <c r="EK615" s="203" t="s">
        <v>69</v>
      </c>
      <c r="EL615" s="10">
        <f>EJ615*1.1</f>
        <v>259.60000000000002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VLOOKUP(EP615,$A$681:$F$2272,6,FALSE)</f>
        <v>143</v>
      </c>
      <c r="ET615" s="203" t="s">
        <v>69</v>
      </c>
      <c r="EU615" s="10">
        <f>ES615*1.1</f>
        <v>157.30000000000001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VLOOKUP(EY615,$A$681:$F$2272,6,FALSE)</f>
        <v>185</v>
      </c>
      <c r="FC615" s="203" t="s">
        <v>69</v>
      </c>
      <c r="FD615" s="10">
        <f>FB615*1.1</f>
        <v>203.50000000000003</v>
      </c>
      <c r="FE615" s="10"/>
      <c r="FF615" s="268"/>
      <c r="FG615" s="203" t="s">
        <v>79</v>
      </c>
      <c r="FH615" s="422" t="s">
        <v>2293</v>
      </c>
      <c r="FJ615" s="204"/>
      <c r="FK615" s="204">
        <f>VLOOKUP(FH615,$A$681:$F$2272,6,FALSE)</f>
        <v>257</v>
      </c>
      <c r="FL615" s="203" t="s">
        <v>69</v>
      </c>
      <c r="FM615" s="10">
        <f>FK615*1.1</f>
        <v>282.70000000000005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VLOOKUP(FQ615,$A$681:$F$2272,6,FALSE)</f>
        <v>219</v>
      </c>
      <c r="FU615" s="203" t="s">
        <v>69</v>
      </c>
      <c r="FV615" s="10">
        <f>FT615*1.1</f>
        <v>240.9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VLOOKUP(FZ615,$A$681:$F$2272,6,FALSE)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VLOOKUP(GI615,$A$681:$F$2272,6,FALSE)</f>
        <v>130</v>
      </c>
      <c r="GM615" s="203" t="s">
        <v>69</v>
      </c>
      <c r="GN615" s="10">
        <f>GL615*1.1</f>
        <v>143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VLOOKUP(GR615,$A$681:$F$2272,6,FALSE)</f>
        <v>3</v>
      </c>
      <c r="GV615" s="203" t="s">
        <v>69</v>
      </c>
      <c r="GW615" s="10">
        <f>GU615*1.1</f>
        <v>3.3000000000000003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VLOOKUP(HA615,$A$681:$F$2272,6,FALSE)</f>
        <v>101</v>
      </c>
      <c r="HE615" s="203" t="s">
        <v>69</v>
      </c>
      <c r="HF615" s="10">
        <f>HD615*1.1</f>
        <v>111.10000000000001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VLOOKUP(HJ615,$A$681:$F$2272,6,FALSE)</f>
        <v>219</v>
      </c>
      <c r="HN615" s="203" t="s">
        <v>69</v>
      </c>
      <c r="HO615" s="10">
        <f>HM615*1.1</f>
        <v>240.9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VLOOKUP(HS615,$A$681:$F$2272,6,FALSE)</f>
        <v>185</v>
      </c>
      <c r="HW615" s="203" t="s">
        <v>69</v>
      </c>
      <c r="HX615" s="10">
        <f>HV615*1.1</f>
        <v>203.50000000000003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VLOOKUP(IB615,$A$681:$F$2272,6,FALSE)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VLOOKUP(IK615,$A$681:$F$2272,6,FALSE)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VLOOKUP(IT615,$A$681:$F$2272,6,FALSE)</f>
        <v>14</v>
      </c>
      <c r="IX615" s="203" t="s">
        <v>69</v>
      </c>
      <c r="IY615" s="10">
        <f>IW615*1.1</f>
        <v>15.400000000000002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VLOOKUP(JC615,$A$681:$F$2272,6,FALSE)</f>
        <v>159</v>
      </c>
      <c r="JG615" s="203" t="s">
        <v>69</v>
      </c>
      <c r="JH615" s="10">
        <f>JF615*1.1</f>
        <v>174.9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VLOOKUP(JL615,$A$681:$F$2272,6,FALSE)</f>
        <v>130</v>
      </c>
      <c r="JP615" s="203" t="s">
        <v>69</v>
      </c>
      <c r="JQ615" s="10">
        <f>JO615*1.1</f>
        <v>143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VLOOKUP(JU615,$A$681:$F$2272,6,FALSE)</f>
        <v>3</v>
      </c>
      <c r="JY615" s="203" t="s">
        <v>69</v>
      </c>
      <c r="JZ615" s="10">
        <f>JX615*1.1</f>
        <v>3.3000000000000003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VLOOKUP(KD615,$A$681:$F$2272,6,FALSE)</f>
        <v>130</v>
      </c>
      <c r="KH615" s="203" t="s">
        <v>69</v>
      </c>
      <c r="KI615" s="10">
        <f>KG615*1.1</f>
        <v>143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VLOOKUP(KM615,$A$681:$F$2272,6,FALSE)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VLOOKUP(KV615,$A$681:$F$2272,6,FALSE)</f>
        <v>185</v>
      </c>
      <c r="KZ615" s="203" t="s">
        <v>69</v>
      </c>
      <c r="LA615" s="10">
        <f>KY615*1.1</f>
        <v>203.50000000000003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VLOOKUP(LE615,$A$681:$F$2272,6,FALSE)</f>
        <v>14</v>
      </c>
      <c r="LI615" s="203" t="s">
        <v>69</v>
      </c>
      <c r="LJ615" s="10">
        <f>LH615*1.1</f>
        <v>15.400000000000002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VLOOKUP(LN615,$A$681:$F$2272,6,FALSE)</f>
        <v>101</v>
      </c>
      <c r="LR615" s="203" t="s">
        <v>69</v>
      </c>
      <c r="LS615" s="10">
        <f>LQ615*1.1</f>
        <v>111.10000000000001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VLOOKUP(LW615,$A$681:$F$2272,6,FALSE)</f>
        <v>130</v>
      </c>
      <c r="MA615" s="203" t="s">
        <v>69</v>
      </c>
      <c r="MB615" s="10">
        <f>LZ615*1.1</f>
        <v>143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VLOOKUP(MF615,$A$681:$F$2272,6,FALSE)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VLOOKUP(MO615,$A$681:$F$2272,6,FALSE)</f>
        <v>143</v>
      </c>
      <c r="MS615" s="203" t="s">
        <v>69</v>
      </c>
      <c r="MT615" s="10">
        <f>MR615*1.1</f>
        <v>157.30000000000001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VLOOKUP(MX615,$A$681:$F$2272,6,FALSE)</f>
        <v>167</v>
      </c>
      <c r="NB615" s="203" t="s">
        <v>69</v>
      </c>
      <c r="NC615" s="10">
        <f>NA615*1.1</f>
        <v>183.70000000000002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VLOOKUP(NG615,$A$681:$F$2272,6,FALSE)</f>
        <v>14</v>
      </c>
      <c r="NK615" s="203" t="s">
        <v>69</v>
      </c>
      <c r="NL615" s="10">
        <f>NJ615*1.1</f>
        <v>15.400000000000002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VLOOKUP(NP615,$A$681:$F$2272,6,FALSE)</f>
        <v>3</v>
      </c>
      <c r="NT615" s="203" t="s">
        <v>69</v>
      </c>
      <c r="NU615" s="10">
        <f>NS615*1.1</f>
        <v>3.3000000000000003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VLOOKUP(NY615,$A$681:$F$2272,6,FALSE)</f>
        <v>14</v>
      </c>
      <c r="OC615" s="203" t="s">
        <v>69</v>
      </c>
      <c r="OD615" s="10">
        <f>OB615*1.1</f>
        <v>15.400000000000002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VLOOKUP(OH615,$A$681:$F$2272,6,FALSE)</f>
        <v>167</v>
      </c>
      <c r="OL615" s="203" t="s">
        <v>69</v>
      </c>
      <c r="OM615" s="10">
        <f>OK615*1.1</f>
        <v>183.70000000000002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VLOOKUP(OQ615,$A$681:$F$2272,6,FALSE)</f>
        <v>236</v>
      </c>
      <c r="OU615" s="203" t="s">
        <v>69</v>
      </c>
      <c r="OV615" s="10">
        <f>OT615*1.1</f>
        <v>259.60000000000002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VLOOKUP(OZ615,$A$681:$F$2272,6,FALSE)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VLOOKUP(PI615,$A$681:$F$2272,6,FALSE)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VLOOKUP(PR615,$A$681:$F$2272,6,FALSE)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VLOOKUP(QA615,$A$681:$F$2272,6,FALSE)</f>
        <v>130</v>
      </c>
      <c r="QE615" s="203" t="s">
        <v>69</v>
      </c>
      <c r="QF615" s="10">
        <f>QD615*1.1</f>
        <v>143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VLOOKUP(QJ615,$A$681:$F$2272,6,FALSE)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VLOOKUP(QS615,$A$681:$F$2272,6,FALSE)</f>
        <v>101</v>
      </c>
      <c r="QW615" s="203" t="s">
        <v>69</v>
      </c>
      <c r="QX615" s="10">
        <f>QV615*1.1</f>
        <v>111.10000000000001</v>
      </c>
      <c r="QY615" s="10"/>
      <c r="QZ615" s="268"/>
      <c r="RA615" s="203" t="s">
        <v>79</v>
      </c>
      <c r="RB615" s="277" t="s">
        <v>2293</v>
      </c>
      <c r="RD615" s="204"/>
      <c r="RE615" s="204">
        <f>VLOOKUP(RB615,$A$681:$F$2272,6,FALSE)</f>
        <v>257</v>
      </c>
      <c r="RF615" s="203" t="s">
        <v>69</v>
      </c>
      <c r="RG615" s="10">
        <f>RE615*1.1</f>
        <v>282.70000000000005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VLOOKUP(RK615,$A$681:$F$2272,6,FALSE)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VLOOKUP(RT615,$A$681:$F$2272,6,FALSE)</f>
        <v>32</v>
      </c>
      <c r="RX615" s="203" t="s">
        <v>69</v>
      </c>
      <c r="RY615" s="10">
        <f>RW615*1.1</f>
        <v>35.200000000000003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VLOOKUP(SC615,$A$681:$F$2272,6,FALSE)</f>
        <v>219</v>
      </c>
      <c r="SG615" s="203" t="s">
        <v>69</v>
      </c>
      <c r="SH615" s="10">
        <f>SF615*1.1</f>
        <v>240.9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VLOOKUP(SL615,$A$681:$F$2272,6,FALSE)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VLOOKUP(SU615,$A$681:$F$2272,6,FALSE)</f>
        <v>197</v>
      </c>
      <c r="SY615" s="203" t="s">
        <v>69</v>
      </c>
      <c r="SZ615" s="10">
        <f>SX615*1.1</f>
        <v>216.70000000000002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VLOOKUP(TD615,$A$681:$F$2272,6,FALSE)</f>
        <v>130</v>
      </c>
      <c r="TH615" s="203" t="s">
        <v>69</v>
      </c>
      <c r="TI615" s="10">
        <f>TG615*1.1</f>
        <v>143</v>
      </c>
      <c r="TK615" s="274"/>
      <c r="TL615" s="203" t="s">
        <v>79</v>
      </c>
      <c r="TM615" s="277" t="s">
        <v>423</v>
      </c>
      <c r="TO615" s="204"/>
      <c r="TP615" s="204">
        <f>VLOOKUP(TM615,$A$681:$F$2272,6,FALSE)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VLOOKUP(TV615,$A$681:$F$2272,6,FALSE)</f>
        <v>143</v>
      </c>
      <c r="TZ615" s="203" t="s">
        <v>69</v>
      </c>
      <c r="UA615" s="10">
        <f>TY615*1.1</f>
        <v>157.30000000000001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VLOOKUP(UE615,$A$681:$F$2272,6,FALSE)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VLOOKUP(UN615,$A$681:$F$2272,6,FALSE)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VLOOKUP(UW615,$A$681:$F$2272,6,FALSE)</f>
        <v>101</v>
      </c>
      <c r="VA615" s="203" t="s">
        <v>69</v>
      </c>
      <c r="VB615" s="10">
        <f>UZ615*1.1</f>
        <v>111.10000000000001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VLOOKUP(VF615,$A$681:$F$2272,6,FALSE)</f>
        <v>236</v>
      </c>
      <c r="VJ615" s="203" t="s">
        <v>69</v>
      </c>
      <c r="VK615" s="10">
        <f>VI615*1.1</f>
        <v>259.60000000000002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VLOOKUP(VO615,$A$681:$F$2272,6,FALSE)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VLOOKUP(VX615,$A$681:$F$2272,6,FALSE)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VLOOKUP(WG615,$A$681:$F$2272,6,FALSE)</f>
        <v>14</v>
      </c>
      <c r="WK615" s="203" t="s">
        <v>69</v>
      </c>
      <c r="WL615" s="10">
        <f>WJ615*1.1</f>
        <v>15.400000000000002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VLOOKUP(WP615,$A$681:$F$2272,6,FALSE)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VLOOKUP(WY615,$A$681:$F$2272,6,FALSE)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VLOOKUP(XH615,$A$681:$F$2272,6,FALSE)</f>
        <v>130</v>
      </c>
      <c r="XL615" s="203" t="s">
        <v>69</v>
      </c>
      <c r="XM615" s="10">
        <f>XK615*1.1</f>
        <v>143</v>
      </c>
      <c r="XO615" s="274"/>
      <c r="XP615" s="203" t="s">
        <v>79</v>
      </c>
      <c r="XQ615" s="277" t="s">
        <v>529</v>
      </c>
      <c r="XS615" s="204"/>
      <c r="XT615" s="204">
        <f>VLOOKUP(XQ615,$A$681:$F$2272,6,FALSE)</f>
        <v>101</v>
      </c>
      <c r="XU615" s="203" t="s">
        <v>69</v>
      </c>
      <c r="XV615" s="10">
        <f>XT615*1.1</f>
        <v>111.10000000000001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VLOOKUP(XZ615,$A$681:$F$2272,6,FALSE)</f>
        <v>14</v>
      </c>
      <c r="YD615" s="203" t="s">
        <v>69</v>
      </c>
      <c r="YE615" s="10">
        <f>YC615*1.1</f>
        <v>15.400000000000002</v>
      </c>
      <c r="YG615" s="274"/>
      <c r="YH615" s="203" t="s">
        <v>79</v>
      </c>
      <c r="YI615" s="279" t="s">
        <v>183</v>
      </c>
      <c r="YK615" s="204"/>
      <c r="YL615" s="204" t="e">
        <f>VLOOKUP(YI615,$A$681:$F$2272,6,FALSE)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VLOOKUP(YR615,$A$681:$F$2272,6,FALSE)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VLOOKUP(ZA615,$A$681:$F$2272,6,FALSE)</f>
        <v>3</v>
      </c>
      <c r="ZE615" s="203" t="s">
        <v>69</v>
      </c>
      <c r="ZF615" s="10">
        <f>ZD615*1.1</f>
        <v>3.3000000000000003</v>
      </c>
      <c r="ZH615" s="274"/>
      <c r="ZI615" s="203" t="s">
        <v>79</v>
      </c>
      <c r="ZJ615" s="277" t="s">
        <v>421</v>
      </c>
      <c r="ZL615" s="204"/>
      <c r="ZM615" s="204">
        <f>VLOOKUP(ZJ615,$A$681:$F$2272,6,FALSE)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559</v>
      </c>
      <c r="ZU615" s="204"/>
      <c r="ZV615" s="204">
        <f>VLOOKUP(ZS615,$A$681:$F$2272,6,FALSE)</f>
        <v>130</v>
      </c>
      <c r="ZW615" s="203" t="s">
        <v>69</v>
      </c>
      <c r="ZX615" s="10">
        <f>ZV615*1.1</f>
        <v>143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VLOOKUP(AAB615,$A$681:$F$2272,6,FALSE)</f>
        <v>130</v>
      </c>
      <c r="AAF615" s="203" t="s">
        <v>69</v>
      </c>
      <c r="AAG615" s="10">
        <f>AAE615*1.1</f>
        <v>143</v>
      </c>
      <c r="AAH615" s="10"/>
      <c r="AAI615" s="274"/>
      <c r="AAJ615" s="203" t="s">
        <v>79</v>
      </c>
      <c r="AAK615" s="277" t="s">
        <v>2293</v>
      </c>
      <c r="AAM615" s="204"/>
      <c r="AAN615" s="204">
        <f>VLOOKUP(AAK615,$A$681:$F$2272,6,FALSE)</f>
        <v>257</v>
      </c>
      <c r="AAO615" s="203" t="s">
        <v>69</v>
      </c>
      <c r="AAP615" s="10">
        <f>AAN615*1.1</f>
        <v>282.70000000000005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VLOOKUP(AAT615,$A$681:$F$2272,6,FALSE)</f>
        <v>185</v>
      </c>
      <c r="AAX615" s="203" t="s">
        <v>69</v>
      </c>
      <c r="AAY615" s="10">
        <f>AAW615*1.1</f>
        <v>203.50000000000003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VLOOKUP(ABC615,$A$681:$F$2272,6,FALSE)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VLOOKUP(ABL615,$A$681:$F$2272,6,FALSE)</f>
        <v>32</v>
      </c>
      <c r="ABP615" s="203" t="s">
        <v>69</v>
      </c>
      <c r="ABQ615" s="10">
        <f>ABO615*1.1</f>
        <v>35.200000000000003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VLOOKUP(ABU615,$A$681:$F$2272,6,FALSE)</f>
        <v>197</v>
      </c>
      <c r="ABY615" s="203" t="s">
        <v>69</v>
      </c>
      <c r="ABZ615" s="10">
        <f>ABX615*1.1</f>
        <v>216.70000000000002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VLOOKUP(ACD615,$A$681:$F$2272,6,FALSE)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VLOOKUP(ACM615,$A$681:$F$2272,6,FALSE)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VLOOKUP(ACV615,$A$681:$F$2272,6,FALSE)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VLOOKUP(ADE615,$A$681:$F$2272,6,FALSE)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VLOOKUP(ADN615,$A$681:$F$2272,6,FALSE)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VLOOKUP(ADW615,$A$681:$F$2272,6,FALSE)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VLOOKUP(AEF615,$A$681:$F$2272,6,FALSE)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VLOOKUP(AEO615,$A$681:$F$2272,6,FALSE)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VLOOKUP(AEX615,$A$681:$F$2272,6,FALSE)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VLOOKUP(AFG615,$A$681:$F$2272,6,FALSE)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VLOOKUP(AFP615,$A$681:$F$2272,6,FALSE)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VLOOKUP(AFY615,$A$681:$F$2272,6,FALSE)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VLOOKUP(AGH615,$A$681:$F$2272,6,FALSE)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VLOOKUP(AGQ615,$A$681:$F$2272,6,FALSE)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VLOOKUP(AGZ615,$A$681:$F$2272,6,FALSE)</f>
        <v>197</v>
      </c>
      <c r="AHD615" s="203" t="s">
        <v>69</v>
      </c>
      <c r="AHE615" s="10">
        <f>AHC615*1.1</f>
        <v>216.70000000000002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VLOOKUP(AHI615,$A$681:$F$2272,6,FALSE)</f>
        <v>159</v>
      </c>
      <c r="AHM615" s="203" t="s">
        <v>69</v>
      </c>
      <c r="AHN615" s="10">
        <f>AHL615*1.1</f>
        <v>174.9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VLOOKUP(AHR615,$A$681:$F$2272,6,FALSE)</f>
        <v>219</v>
      </c>
      <c r="AHV615" s="203" t="s">
        <v>69</v>
      </c>
      <c r="AHW615" s="10">
        <f>AHU615*1.1</f>
        <v>240.9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VLOOKUP(AIA615,$A$681:$F$2272,6,FALSE)</f>
        <v>32</v>
      </c>
      <c r="AIE615" s="203" t="s">
        <v>69</v>
      </c>
      <c r="AIF615" s="10">
        <f>AID615*1.1</f>
        <v>35.200000000000003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VLOOKUP(AIJ615,$A$681:$F$2272,6,FALSE)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VLOOKUP(AIS615,$A$681:$F$2272,6,FALSE)</f>
        <v>14</v>
      </c>
      <c r="AIW615" s="203" t="s">
        <v>69</v>
      </c>
      <c r="AIX615" s="10">
        <f>AIV615*1.1</f>
        <v>15.400000000000002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VLOOKUP(AJB615,$A$681:$F$2272,6,FALSE)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VLOOKUP(AJK615,$A$681:$F$2272,6,FALSE)</f>
        <v>130</v>
      </c>
      <c r="AJO615" s="203" t="s">
        <v>69</v>
      </c>
      <c r="AJP615" s="10">
        <f>AJN615*1.1</f>
        <v>143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VLOOKUP(AJT615,$A$681:$F$2272,6,FALSE)</f>
        <v>14</v>
      </c>
      <c r="AJX615" s="203" t="s">
        <v>69</v>
      </c>
      <c r="AJY615" s="10">
        <f>AJW615*1.1</f>
        <v>15.400000000000002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VLOOKUP(AKC615,$A$681:$F$2272,6,FALSE)</f>
        <v>185</v>
      </c>
      <c r="AKG615" s="203" t="s">
        <v>69</v>
      </c>
      <c r="AKH615" s="10">
        <f>AKF615*1.1</f>
        <v>203.50000000000003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VLOOKUP(AKL615,$A$681:$F$2272,6,FALSE)</f>
        <v>14</v>
      </c>
      <c r="AKP615" s="203" t="s">
        <v>69</v>
      </c>
      <c r="AKQ615" s="10">
        <f>AKO615*1.1</f>
        <v>15.400000000000002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VLOOKUP(AKU615,$A$681:$F$2272,6,FALSE)</f>
        <v>185</v>
      </c>
      <c r="AKY615" s="203" t="s">
        <v>69</v>
      </c>
      <c r="AKZ615" s="10">
        <f>AKX615*1.1</f>
        <v>203.50000000000003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VLOOKUP(ALD615,$A$681:$F$2272,6,FALSE)</f>
        <v>130</v>
      </c>
      <c r="ALH615" s="203" t="s">
        <v>69</v>
      </c>
      <c r="ALI615" s="10">
        <f>ALG615*1.1</f>
        <v>143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VLOOKUP(ALM615,$A$681:$F$2272,6,FALSE)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VLOOKUP(ALV615,$A$681:$F$2272,6,FALSE)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VLOOKUP(AME615,$A$681:$F$2272,6,FALSE)</f>
        <v>14</v>
      </c>
      <c r="AMI615" s="203" t="s">
        <v>69</v>
      </c>
      <c r="AMJ615" s="10">
        <f>AMH615*1.1</f>
        <v>15.400000000000002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VLOOKUP(AMN615,$A$681:$F$2272,6,FALSE)</f>
        <v>167</v>
      </c>
      <c r="AMR615" s="203" t="s">
        <v>69</v>
      </c>
      <c r="AMS615" s="10">
        <f>AMQ615*1.1</f>
        <v>183.70000000000002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VLOOKUP(AMW615,$A$681:$F$2272,6,FALSE)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VLOOKUP(ANF615,$A$681:$F$2272,6,FALSE)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VLOOKUP(ANO615,$A$681:$F$2272,6,FALSE)</f>
        <v>32</v>
      </c>
      <c r="ANS615" s="203" t="s">
        <v>69</v>
      </c>
      <c r="ANT615" s="10">
        <f>ANR615*1.1</f>
        <v>35.200000000000003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VLOOKUP(ANX615,$A$681:$F$2272,6,FALSE)</f>
        <v>185</v>
      </c>
      <c r="AOB615" s="203" t="s">
        <v>69</v>
      </c>
      <c r="AOC615" s="10">
        <f>AOA615*1.1</f>
        <v>203.50000000000003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VLOOKUP(AOG615,$A$681:$F$2272,6,FALSE)</f>
        <v>185</v>
      </c>
      <c r="AOK615" s="203" t="s">
        <v>69</v>
      </c>
      <c r="AOL615" s="10">
        <f>AOJ615*1.1</f>
        <v>203.50000000000003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VLOOKUP(AOP615,$A$681:$F$2272,6,FALSE)</f>
        <v>185</v>
      </c>
      <c r="AOT615" s="203" t="s">
        <v>69</v>
      </c>
      <c r="AOU615" s="10">
        <f>AOS615*1.1</f>
        <v>203.50000000000003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VLOOKUP(AOY615,$A$681:$F$2272,6,FALSE)</f>
        <v>130</v>
      </c>
      <c r="APC615" s="203" t="s">
        <v>69</v>
      </c>
      <c r="APD615" s="10">
        <f>APB615*1.1</f>
        <v>143</v>
      </c>
      <c r="APE615" s="10"/>
      <c r="APF615" s="274"/>
      <c r="APG615" s="203" t="s">
        <v>79</v>
      </c>
      <c r="APH615" s="277" t="s">
        <v>2293</v>
      </c>
      <c r="APJ615" s="204"/>
      <c r="APK615" s="204">
        <f>VLOOKUP(APH615,$A$681:$F$2272,6,FALSE)</f>
        <v>257</v>
      </c>
      <c r="APL615" s="203" t="s">
        <v>69</v>
      </c>
      <c r="APM615" s="10">
        <f>APK615*1.1</f>
        <v>282.70000000000005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VLOOKUP(APQ615,$A$681:$F$2272,6,FALSE)</f>
        <v>130</v>
      </c>
      <c r="APU615" s="203" t="s">
        <v>69</v>
      </c>
      <c r="APV615" s="10">
        <f>APT615*1.1</f>
        <v>143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VLOOKUP(APZ615,$A$681:$F$2272,6,FALSE)</f>
        <v>219</v>
      </c>
      <c r="AQD615" s="203" t="s">
        <v>69</v>
      </c>
      <c r="AQE615" s="10">
        <f>AQC615*1.1</f>
        <v>240.9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1338.5</v>
      </c>
      <c r="I616" s="268"/>
      <c r="J616" s="203"/>
      <c r="K616" s="415"/>
      <c r="M616" s="203"/>
      <c r="N616" s="203"/>
      <c r="O616" s="203"/>
      <c r="P616" s="10"/>
      <c r="Q616" s="10">
        <f>SUM(P611:P615)</f>
        <v>1052.5999999999999</v>
      </c>
      <c r="R616" s="268"/>
      <c r="S616" s="203"/>
      <c r="T616" s="265"/>
      <c r="V616" s="203"/>
      <c r="W616" s="203"/>
      <c r="X616" s="203"/>
      <c r="Y616" s="10"/>
      <c r="Z616" s="10">
        <f>SUM(Y611:Y615)</f>
        <v>1097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779.09999999999991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1022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1042.0999999999999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879.40000000000009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1082.4000000000001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974.4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947.9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742.9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1012.5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681.4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1024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771.6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950.3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1289.3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1091.3999999999999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1072.8000000000002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859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721.1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891.3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1122.9999999999998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800.4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1052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941.80000000000007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1060.6000000000001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1008.9999999999999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570.6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1073.7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1229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786.2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1117.7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1011.3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867.9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1189.2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932.4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768.09999999999991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820.6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930.89999999999986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622.19999999999993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765.1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689.30000000000007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700.2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900.3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782.69999999999993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752.5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973.5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1067.5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1311.2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866.5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802.5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1203.4000000000001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443.9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909.69999999999993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1060.8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1046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673.4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922.2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1005.3000000000001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923.69999999999993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864.8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933.2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992.19999999999993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1017.4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948.2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1057.5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810.3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1008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1162.5999999999999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1213.8999999999999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721.7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605.6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883.40000000000009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951.09999999999991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954.9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478.4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912.19999999999993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747.49999999999989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728.40000000000009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1060.0999999999999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908.5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1136.5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1120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857.5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782.8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831.3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1100.2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714.6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1034.2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938.69999999999993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934.40000000000009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1219.6000000000001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1059.2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919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1360.1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998.7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1068.5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941.3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820.49999999999989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VLOOKUP(B617,$A$681:$F$2272,6,FALSE)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VLOOKUP(K617,$A$681:$F$2272,6,FALSE)</f>
        <v>240</v>
      </c>
      <c r="O617" s="203" t="s">
        <v>61</v>
      </c>
      <c r="P617" s="10">
        <f>N617*1.5*M617</f>
        <v>360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VLOOKUP(T617,$A$681:$F$2272,6,FALSE)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2058</v>
      </c>
      <c r="AE617" s="284">
        <f>IF(AD617="Kopman",1.4,1)</f>
        <v>1</v>
      </c>
      <c r="AF617" s="204">
        <f>VLOOKUP(AC617,$A$681:$F$2272,6,FALSE)</f>
        <v>126</v>
      </c>
      <c r="AG617" s="203" t="s">
        <v>61</v>
      </c>
      <c r="AH617" s="10">
        <f>AF617*1.5*AE617</f>
        <v>189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VLOOKUP(AL617,$A$681:$F$2272,6,FALSE)</f>
        <v>234</v>
      </c>
      <c r="AP617" s="203" t="s">
        <v>61</v>
      </c>
      <c r="AQ617" s="10">
        <f>AO617*1.5*AN617</f>
        <v>351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VLOOKUP(AU617,$A$681:$F$2272,6,FALSE)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VLOOKUP(BD617,$A$681:$F$2272,6,FALSE)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VLOOKUP(BM617,$A$681:$F$2272,6,FALSE)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VLOOKUP(BV617,$A$681:$F$2272,6,FALSE)</f>
        <v>46</v>
      </c>
      <c r="BZ617" s="203" t="s">
        <v>61</v>
      </c>
      <c r="CA617" s="10">
        <f>BY617*1.5*BX617</f>
        <v>69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VLOOKUP(CE617,$A$681:$F$2272,6,FALSE)</f>
        <v>234</v>
      </c>
      <c r="CI617" s="203" t="s">
        <v>61</v>
      </c>
      <c r="CJ617" s="10">
        <f>CH617*1.5*CG617</f>
        <v>351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VLOOKUP(CN617,$A$681:$F$2272,6,FALSE)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VLOOKUP(CW617,$A$681:$F$2272,6,FALSE)</f>
        <v>234</v>
      </c>
      <c r="DA617" s="203" t="s">
        <v>61</v>
      </c>
      <c r="DB617" s="10">
        <f>CZ617*1.5*CY617</f>
        <v>351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VLOOKUP(DF617,$A$681:$F$2272,6,FALSE)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2058</v>
      </c>
      <c r="DQ617" s="284">
        <f>IF(DP617="Kopman",1.4,1)</f>
        <v>1</v>
      </c>
      <c r="DR617" s="204">
        <f>VLOOKUP(DO617,$A$681:$F$2272,6,FALSE)</f>
        <v>126</v>
      </c>
      <c r="DS617" s="203" t="s">
        <v>61</v>
      </c>
      <c r="DT617" s="10">
        <f>DR617*1.5*DQ617</f>
        <v>189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VLOOKUP(DX617,$A$681:$F$2272,6,FALSE)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VLOOKUP(EG617,$A$681:$F$2272,6,FALSE)</f>
        <v>234</v>
      </c>
      <c r="EK617" s="203" t="s">
        <v>61</v>
      </c>
      <c r="EL617" s="10">
        <f>EJ617*1.5*EI617</f>
        <v>351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VLOOKUP(EP617,$A$681:$F$2272,6,FALSE)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VLOOKUP(EY617,$A$681:$F$2272,6,FALSE)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VLOOKUP(FH617,$A$681:$F$2272,6,FALSE)</f>
        <v>42</v>
      </c>
      <c r="FL617" s="203" t="s">
        <v>61</v>
      </c>
      <c r="FM617" s="10">
        <f>FK617*1.5*FJ617</f>
        <v>63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VLOOKUP(FQ617,$A$681:$F$2272,6,FALSE)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VLOOKUP(FZ617,$A$681:$F$2272,6,FALSE)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VLOOKUP(GI617,$A$681:$F$2272,6,FALSE)</f>
        <v>240</v>
      </c>
      <c r="GM617" s="203" t="s">
        <v>61</v>
      </c>
      <c r="GN617" s="10">
        <f>GL617*1.5*GK617</f>
        <v>360</v>
      </c>
      <c r="GO617" s="10"/>
      <c r="GP617" s="268"/>
      <c r="GQ617" s="203" t="s">
        <v>80</v>
      </c>
      <c r="GR617" s="277" t="s">
        <v>2058</v>
      </c>
      <c r="GT617" s="284">
        <f>IF(GS617="Kopman",1.4,1)</f>
        <v>1</v>
      </c>
      <c r="GU617" s="204">
        <f>VLOOKUP(GR617,$A$681:$F$2272,6,FALSE)</f>
        <v>126</v>
      </c>
      <c r="GV617" s="203" t="s">
        <v>61</v>
      </c>
      <c r="GW617" s="10">
        <f>GU617*1.5</f>
        <v>189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VLOOKUP(HA617,$A$681:$F$2272,6,FALSE)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VLOOKUP(HJ617,$A$681:$F$2272,6,FALSE)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VLOOKUP(HS617,$A$681:$F$2272,6,FALSE)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VLOOKUP(IB617,$A$681:$F$2272,6,FALSE)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VLOOKUP(IK617,$A$681:$F$2272,6,FALSE)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VLOOKUP(IT617,$A$681:$F$2272,6,FALSE)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VLOOKUP(JC617,$A$681:$F$2272,6,FALSE)</f>
        <v>108</v>
      </c>
      <c r="JG617" s="203" t="s">
        <v>61</v>
      </c>
      <c r="JH617" s="10">
        <f>JF617*1.5*JE617</f>
        <v>162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VLOOKUP(JL617,$A$681:$F$2272,6,FALSE)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VLOOKUP(JU617,$A$681:$F$2272,6,FALSE)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VLOOKUP(KD617,$A$681:$F$2272,6,FALSE)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VLOOKUP(KM617,$A$681:$F$2272,6,FALSE)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VLOOKUP(KV617,$A$681:$F$2272,6,FALSE)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VLOOKUP(LE617,$A$681:$F$2272,6,FALSE)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VLOOKUP(LN617,$A$681:$F$2272,6,FALSE)</f>
        <v>234</v>
      </c>
      <c r="LR617" s="203" t="s">
        <v>61</v>
      </c>
      <c r="LS617" s="10">
        <f>LQ617*1.5*LP617</f>
        <v>351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VLOOKUP(LW617,$A$681:$F$2272,6,FALSE)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VLOOKUP(MF617,$A$681:$F$2272,6,FALSE)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2023</v>
      </c>
      <c r="MQ617" s="284">
        <f>IF(MP617="Kopman",1.4,1)</f>
        <v>1.4</v>
      </c>
      <c r="MR617" s="204">
        <f>VLOOKUP(MO617,$A$681:$F$2272,6,FALSE)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VLOOKUP(MX617,$A$681:$F$2272,6,FALSE)</f>
        <v>42</v>
      </c>
      <c r="NB617" s="203" t="s">
        <v>61</v>
      </c>
      <c r="NC617" s="10">
        <f>NA617*1.5*MZ617</f>
        <v>63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VLOOKUP(NG617,$A$681:$F$2272,6,FALSE)</f>
        <v>108</v>
      </c>
      <c r="NK617" s="203" t="s">
        <v>61</v>
      </c>
      <c r="NL617" s="10">
        <f>NJ617*1.5*NI617</f>
        <v>162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VLOOKUP(NP617,$A$681:$F$2272,6,FALSE)</f>
        <v>167</v>
      </c>
      <c r="NT617" s="203" t="s">
        <v>61</v>
      </c>
      <c r="NU617" s="10">
        <f>NS617*1.5*NR617</f>
        <v>250.5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VLOOKUP(NY617,$A$681:$F$2272,6,FALSE)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VLOOKUP(OH617,$A$681:$F$2272,6,FALSE)</f>
        <v>108</v>
      </c>
      <c r="OL617" s="203" t="s">
        <v>61</v>
      </c>
      <c r="OM617" s="10">
        <f>OK617*1.5*OJ617</f>
        <v>162</v>
      </c>
      <c r="ON617" s="10"/>
      <c r="OO617" s="268"/>
      <c r="OP617" s="203" t="s">
        <v>80</v>
      </c>
      <c r="OQ617" s="427" t="s">
        <v>484</v>
      </c>
      <c r="OR617" s="416" t="s">
        <v>2023</v>
      </c>
      <c r="OS617" s="284">
        <f>IF(OR617="Kopman",1.4,1)</f>
        <v>1.4</v>
      </c>
      <c r="OT617" s="204">
        <f>VLOOKUP(OQ617,$A$681:$F$2272,6,FALSE)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VLOOKUP(OZ617,$A$681:$F$2272,6,FALSE)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VLOOKUP(PI617,$A$681:$F$2272,6,FALSE)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VLOOKUP(PR617,$A$681:$F$2272,6,FALSE)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2023</v>
      </c>
      <c r="QC617" s="284">
        <f>IF(QB617="Kopman",1.4,1)</f>
        <v>1.4</v>
      </c>
      <c r="QD617" s="204">
        <f>VLOOKUP(QA617,$A$681:$F$2272,6,FALSE)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VLOOKUP(QJ617,$A$681:$F$2272,6,FALSE)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VLOOKUP(QS617,$A$681:$F$2272,6,FALSE)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VLOOKUP(RB617,$A$681:$F$2272,6,FALSE)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VLOOKUP(RK617,$A$681:$F$2272,6,FALSE)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VLOOKUP(RT617,$A$681:$F$2272,6,FALSE)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VLOOKUP(SC617,$A$681:$F$2272,6,FALSE)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VLOOKUP(SL617,$A$681:$F$2272,6,FALSE)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VLOOKUP(SU617,$A$681:$F$2272,6,FALSE)</f>
        <v>240</v>
      </c>
      <c r="SY617" s="203" t="s">
        <v>61</v>
      </c>
      <c r="SZ617" s="10">
        <f>SX617*1.5*SW617</f>
        <v>360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VLOOKUP(TD617,$A$681:$F$2272,6,FALSE)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VLOOKUP(TM617,$A$681:$F$2272,6,FALSE)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VLOOKUP(TV617,$A$681:$F$2272,6,FALSE)</f>
        <v>42</v>
      </c>
      <c r="TZ617" s="203" t="s">
        <v>61</v>
      </c>
      <c r="UA617" s="10">
        <f>TY617*1.5*TX617</f>
        <v>63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VLOOKUP(UE617,$A$681:$F$2272,6,FALSE)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VLOOKUP(UN617,$A$681:$F$2272,6,FALSE)</f>
        <v>240</v>
      </c>
      <c r="UR617" s="203" t="s">
        <v>61</v>
      </c>
      <c r="US617" s="10">
        <f>UQ617*1.5*UP617</f>
        <v>360</v>
      </c>
      <c r="UT617" s="10"/>
      <c r="UU617" s="274"/>
      <c r="UV617" s="203" t="s">
        <v>80</v>
      </c>
      <c r="UW617" s="417" t="s">
        <v>1681</v>
      </c>
      <c r="UX617" s="416" t="s">
        <v>2023</v>
      </c>
      <c r="UY617" s="284">
        <f>IF(UX617="Kopman",1.4,1)</f>
        <v>1.4</v>
      </c>
      <c r="UZ617" s="204">
        <f>VLOOKUP(UW617,$A$681:$F$2272,6,FALSE)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2058</v>
      </c>
      <c r="VH617" s="284">
        <f>IF(VG617="Kopman",1.4,1)</f>
        <v>1</v>
      </c>
      <c r="VI617" s="204">
        <f>VLOOKUP(VF617,$A$681:$F$2272,6,FALSE)</f>
        <v>126</v>
      </c>
      <c r="VJ617" s="203" t="s">
        <v>61</v>
      </c>
      <c r="VK617" s="10">
        <f>VI617*1.5*VH617</f>
        <v>189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VLOOKUP(VO617,$A$681:$F$2272,6,FALSE)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VLOOKUP(VX617,$A$681:$F$2272,6,FALSE)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VLOOKUP(WG617,$A$681:$F$2272,6,FALSE)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VLOOKUP(WP617,$A$681:$F$2272,6,FALSE)</f>
        <v>#N/A</v>
      </c>
      <c r="WT617" s="203" t="s">
        <v>2025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VLOOKUP(WY617,$A$681:$F$2272,6,FALSE)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VLOOKUP(XH617,$A$681:$F$2272,6,FALSE)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VLOOKUP(XQ617,$A$681:$F$2272,6,FALSE)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VLOOKUP(XZ617,$A$681:$F$2272,6,FALSE)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VLOOKUP(YI617,$A$681:$F$2272,6,FALSE)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VLOOKUP(YR617,$A$681:$F$2272,6,FALSE)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VLOOKUP(ZA617,$A$681:$F$2272,6,FALSE)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VLOOKUP(ZJ617,$A$681:$F$2272,6,FALSE)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VLOOKUP(ZS617,$A$681:$F$2272,6,FALSE)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VLOOKUP(AAB617,$A$681:$F$2272,6,FALSE)</f>
        <v>234</v>
      </c>
      <c r="AAF617" s="203" t="s">
        <v>61</v>
      </c>
      <c r="AAG617" s="10">
        <f>AAE617*1.5*AAD617</f>
        <v>351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VLOOKUP(AAK617,$A$681:$F$2272,6,FALSE)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VLOOKUP(AAT617,$A$681:$F$2272,6,FALSE)</f>
        <v>167</v>
      </c>
      <c r="AAX617" s="203" t="s">
        <v>61</v>
      </c>
      <c r="AAY617" s="10">
        <f>AAW617*1.5*AAV617</f>
        <v>250.5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VLOOKUP(ABC617,$A$681:$F$2272,6,FALSE)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2023</v>
      </c>
      <c r="ABN617" s="284">
        <f>IF(ABM617="Kopman",1.4,1)</f>
        <v>1.4</v>
      </c>
      <c r="ABO617" s="204">
        <f>VLOOKUP(ABL617,$A$681:$F$2272,6,FALSE)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2058</v>
      </c>
      <c r="ABW617" s="284">
        <f>IF(ABV617="Kopman",1.4,1)</f>
        <v>1</v>
      </c>
      <c r="ABX617" s="204">
        <f>VLOOKUP(ABU617,$A$681:$F$2272,6,FALSE)</f>
        <v>126</v>
      </c>
      <c r="ABY617" s="203" t="s">
        <v>61</v>
      </c>
      <c r="ABZ617" s="10">
        <f>ABX617*1.5*ABW617</f>
        <v>189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VLOOKUP(ACD617,$A$681:$F$2272,6,FALSE)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VLOOKUP(ACM617,$A$681:$F$2272,6,FALSE)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VLOOKUP(ACV617,$A$681:$F$2272,6,FALSE)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VLOOKUP(ADE617,$A$681:$F$2272,6,FALSE)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VLOOKUP(ADN617,$A$681:$F$2272,6,FALSE)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VLOOKUP(ADW617,$A$681:$F$2272,6,FALSE)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VLOOKUP(AEF617,$A$681:$F$2272,6,FALSE)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VLOOKUP(AEO617,$A$681:$F$2272,6,FALSE)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VLOOKUP(AEX617,$A$681:$F$2272,6,FALSE)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VLOOKUP(AFG617,$A$681:$F$2272,6,FALSE)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VLOOKUP(AFP617,$A$681:$F$2272,6,FALSE)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VLOOKUP(AFY617,$A$681:$F$2272,6,FALSE)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VLOOKUP(AGH617,$A$681:$F$2272,6,FALSE)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VLOOKUP(AGQ617,$A$681:$F$2272,6,FALSE)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VLOOKUP(AGZ617,$A$681:$F$2272,6,FALSE)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VLOOKUP(AHI617,$A$681:$F$2272,6,FALSE)</f>
        <v>240</v>
      </c>
      <c r="AHM617" s="203" t="s">
        <v>61</v>
      </c>
      <c r="AHN617" s="10">
        <f>AHL617*1.5*AHK617</f>
        <v>360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VLOOKUP(AHR617,$A$681:$F$2272,6,FALSE)</f>
        <v>240</v>
      </c>
      <c r="AHV617" s="203" t="s">
        <v>61</v>
      </c>
      <c r="AHW617" s="10">
        <f>AHU617*1.5*AHT617</f>
        <v>360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VLOOKUP(AIA617,$A$681:$F$2272,6,FALSE)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VLOOKUP(AIJ617,$A$681:$F$2272,6,FALSE)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VLOOKUP(AIS617,$A$681:$F$2272,6,FALSE)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VLOOKUP(AJB617,$A$681:$F$2272,6,FALSE)</f>
        <v>108</v>
      </c>
      <c r="AJF617" s="203" t="s">
        <v>61</v>
      </c>
      <c r="AJG617" s="10">
        <f>AJE617*1.5*AJD617</f>
        <v>162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VLOOKUP(AJK617,$A$681:$F$2272,6,FALSE)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VLOOKUP(AJT617,$A$681:$F$2272,6,FALSE)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VLOOKUP(AKC617,$A$681:$F$2272,6,FALSE)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2023</v>
      </c>
      <c r="AKN617" s="284">
        <f>IF(AKM617="Kopman",1.4,1)</f>
        <v>1.4</v>
      </c>
      <c r="AKO617" s="204">
        <f>VLOOKUP(AKL617,$A$681:$F$2272,6,FALSE)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2023</v>
      </c>
      <c r="AKW617" s="284">
        <f>IF(AKV617="Kopman",1.4,1)</f>
        <v>1.4</v>
      </c>
      <c r="AKX617" s="204">
        <f>VLOOKUP(AKU617,$A$681:$F$2272,6,FALSE)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2023</v>
      </c>
      <c r="ALF617" s="284">
        <f>IF(ALE617="Kopman",1.4,1)</f>
        <v>1.4</v>
      </c>
      <c r="ALG617" s="204">
        <f>VLOOKUP(ALD617,$A$681:$F$2272,6,FALSE)</f>
        <v>240</v>
      </c>
      <c r="ALH617" s="203" t="s">
        <v>61</v>
      </c>
      <c r="ALI617" s="10">
        <f>ALG617*1.5*ALF617</f>
        <v>503.99999999999994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VLOOKUP(ALM617,$A$681:$F$2272,6,FALSE)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VLOOKUP(ALV617,$A$681:$F$2272,6,FALSE)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2023</v>
      </c>
      <c r="AMG617" s="284">
        <f>IF(AMF617="Kopman",1.4,1)</f>
        <v>1.4</v>
      </c>
      <c r="AMH617" s="204">
        <f>VLOOKUP(AME617,$A$681:$F$2272,6,FALSE)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VLOOKUP(AMN617,$A$681:$F$2272,6,FALSE)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VLOOKUP(AMW617,$A$681:$F$2272,6,FALSE)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VLOOKUP(ANF617,$A$681:$F$2272,6,FALSE)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VLOOKUP(ANO617,$A$681:$F$2272,6,FALSE)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VLOOKUP(ANX617,$A$681:$F$2272,6,FALSE)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VLOOKUP(AOG617,$A$681:$F$2272,6,FALSE)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VLOOKUP(AOP617,$A$681:$F$2272,6,FALSE)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VLOOKUP(AOY617,$A$681:$F$2272,6,FALSE)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VLOOKUP(APH617,$A$681:$F$2272,6,FALSE)</f>
        <v>234</v>
      </c>
      <c r="APL617" s="203" t="s">
        <v>61</v>
      </c>
      <c r="APM617" s="10">
        <f>APK617*1.5*APJ617</f>
        <v>351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VLOOKUP(APQ617,$A$681:$F$2272,6,FALSE)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VLOOKUP(APZ617,$A$681:$F$2272,6,FALSE)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VLOOKUP(B618,$A$681:$F$2272,6,FALSE)</f>
        <v>240</v>
      </c>
      <c r="F618" s="203" t="s">
        <v>63</v>
      </c>
      <c r="G618" s="10">
        <f>E618*1.4</f>
        <v>336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VLOOKUP(K618,$A$681:$F$2272,6,FALSE)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VLOOKUP(T618,$A$681:$F$2272,6,FALSE)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VLOOKUP(AC618,$A$681:$F$2272,6,FALSE)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VLOOKUP(AL618,$A$681:$F$2272,6,FALSE)</f>
        <v>46</v>
      </c>
      <c r="AP618" s="203" t="s">
        <v>63</v>
      </c>
      <c r="AQ618" s="10">
        <f>AO618*1.4</f>
        <v>64.399999999999991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VLOOKUP(AU618,$A$681:$F$2272,6,FALSE)</f>
        <v>108</v>
      </c>
      <c r="AY618" s="203" t="s">
        <v>63</v>
      </c>
      <c r="AZ618" s="10">
        <f>AX618*1.4</f>
        <v>151.19999999999999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VLOOKUP(BD618,$A$681:$F$2272,6,FALSE)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VLOOKUP(BM618,$A$681:$F$2272,6,FALSE)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VLOOKUP(BV618,$A$681:$F$2272,6,FALSE)</f>
        <v>167</v>
      </c>
      <c r="BZ618" s="203" t="s">
        <v>63</v>
      </c>
      <c r="CA618" s="10">
        <f>BY618*1.4</f>
        <v>233.79999999999998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VLOOKUP(CE618,$A$681:$F$2272,6,FALSE)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VLOOKUP(CN618,$A$681:$F$2272,6,FALSE)</f>
        <v>240</v>
      </c>
      <c r="CR618" s="203" t="s">
        <v>63</v>
      </c>
      <c r="CS618" s="10">
        <f>CQ618*1.4</f>
        <v>336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VLOOKUP(CW618,$A$681:$F$2272,6,FALSE)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2058</v>
      </c>
      <c r="DH618" s="204"/>
      <c r="DI618" s="204">
        <f>VLOOKUP(DF618,$A$681:$F$2272,6,FALSE)</f>
        <v>126</v>
      </c>
      <c r="DJ618" s="203" t="s">
        <v>63</v>
      </c>
      <c r="DK618" s="10">
        <f>DI618*1.4</f>
        <v>176.39999999999998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VLOOKUP(DO618,$A$681:$F$2272,6,FALSE)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VLOOKUP(DX618,$A$681:$F$2272,6,FALSE)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VLOOKUP(EG618,$A$681:$F$2272,6,FALSE)</f>
        <v>108</v>
      </c>
      <c r="EK618" s="203" t="s">
        <v>63</v>
      </c>
      <c r="EL618" s="10">
        <f>EJ618*1.4</f>
        <v>151.19999999999999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VLOOKUP(EP618,$A$681:$F$2272,6,FALSE)</f>
        <v>240</v>
      </c>
      <c r="ET618" s="203" t="s">
        <v>63</v>
      </c>
      <c r="EU618" s="10">
        <f>ES618*1.4</f>
        <v>336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VLOOKUP(EY618,$A$681:$F$2272,6,FALSE)</f>
        <v>108</v>
      </c>
      <c r="FC618" s="203" t="s">
        <v>63</v>
      </c>
      <c r="FD618" s="10">
        <f>FB618*1.4</f>
        <v>151.19999999999999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VLOOKUP(FH618,$A$681:$F$2272,6,FALSE)</f>
        <v>240</v>
      </c>
      <c r="FL618" s="203" t="s">
        <v>63</v>
      </c>
      <c r="FM618" s="10">
        <f>FK618*1.4</f>
        <v>336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VLOOKUP(FQ618,$A$681:$F$2272,6,FALSE)</f>
        <v>234</v>
      </c>
      <c r="FU618" s="203" t="s">
        <v>63</v>
      </c>
      <c r="FV618" s="10">
        <f>FT618*1.4</f>
        <v>327.59999999999997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VLOOKUP(FZ618,$A$681:$F$2272,6,FALSE)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VLOOKUP(GI618,$A$681:$F$2272,6,FALSE)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VLOOKUP(GR618,$A$681:$F$2272,6,FALSE)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2058</v>
      </c>
      <c r="HC618" s="204"/>
      <c r="HD618" s="204">
        <f>VLOOKUP(HA618,$A$681:$F$2272,6,FALSE)</f>
        <v>126</v>
      </c>
      <c r="HE618" s="203" t="s">
        <v>63</v>
      </c>
      <c r="HF618" s="10">
        <f>HD618*1.4</f>
        <v>176.39999999999998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VLOOKUP(HJ618,$A$681:$F$2272,6,FALSE)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VLOOKUP(HS618,$A$681:$F$2272,6,FALSE)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VLOOKUP(IB618,$A$681:$F$2272,6,FALSE)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VLOOKUP(IK618,$A$681:$F$2272,6,FALSE)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VLOOKUP(IT618,$A$681:$F$2272,6,FALSE)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VLOOKUP(JC618,$A$681:$F$2272,6,FALSE)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VLOOKUP(JL618,$A$681:$F$2272,6,FALSE)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VLOOKUP(JU618,$A$681:$F$2272,6,FALSE)</f>
        <v>108</v>
      </c>
      <c r="JY618" s="203" t="s">
        <v>63</v>
      </c>
      <c r="JZ618" s="10">
        <f>JX618*1.4</f>
        <v>151.19999999999999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VLOOKUP(KD618,$A$681:$F$2272,6,FALSE)</f>
        <v>234</v>
      </c>
      <c r="KH618" s="203" t="s">
        <v>63</v>
      </c>
      <c r="KI618" s="10">
        <f>KG618*1.4</f>
        <v>327.59999999999997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VLOOKUP(KM618,$A$681:$F$2272,6,FALSE)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VLOOKUP(KV618,$A$681:$F$2272,6,FALSE)</f>
        <v>108</v>
      </c>
      <c r="KZ618" s="203" t="s">
        <v>63</v>
      </c>
      <c r="LA618" s="10">
        <f>KY618*1.4</f>
        <v>151.19999999999999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VLOOKUP(LE618,$A$681:$F$2272,6,FALSE)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VLOOKUP(LN618,$A$681:$F$2272,6,FALSE)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VLOOKUP(LW618,$A$681:$F$2272,6,FALSE)</f>
        <v>167</v>
      </c>
      <c r="MA618" s="203" t="s">
        <v>63</v>
      </c>
      <c r="MB618" s="10">
        <f>LZ618*1.4</f>
        <v>233.79999999999998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VLOOKUP(MF618,$A$681:$F$2272,6,FALSE)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VLOOKUP(MO618,$A$681:$F$2272,6,FALSE)</f>
        <v>73</v>
      </c>
      <c r="MS618" s="203" t="s">
        <v>63</v>
      </c>
      <c r="MT618" s="10">
        <f>MR618*1.4</f>
        <v>102.19999999999999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VLOOKUP(MX618,$A$681:$F$2272,6,FALSE)</f>
        <v>234</v>
      </c>
      <c r="NB618" s="203" t="s">
        <v>63</v>
      </c>
      <c r="NC618" s="10">
        <f>NA618*1.4</f>
        <v>327.59999999999997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VLOOKUP(NG618,$A$681:$F$2272,6,FALSE)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VLOOKUP(NP618,$A$681:$F$2272,6,FALSE)</f>
        <v>108</v>
      </c>
      <c r="NT618" s="203" t="s">
        <v>63</v>
      </c>
      <c r="NU618" s="10">
        <f>NS618*1.4</f>
        <v>151.19999999999999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VLOOKUP(NY618,$A$681:$F$2272,6,FALSE)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VLOOKUP(OH618,$A$681:$F$2272,6,FALSE)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VLOOKUP(OQ618,$A$681:$F$2272,6,FALSE)</f>
        <v>108</v>
      </c>
      <c r="OU618" s="203" t="s">
        <v>63</v>
      </c>
      <c r="OV618" s="10">
        <f>OT618*1.4</f>
        <v>151.19999999999999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VLOOKUP(OZ618,$A$681:$F$2272,6,FALSE)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VLOOKUP(PI618,$A$681:$F$2272,6,FALSE)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VLOOKUP(PR618,$A$681:$F$2272,6,FALSE)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VLOOKUP(QA618,$A$681:$F$2272,6,FALSE)</f>
        <v>108</v>
      </c>
      <c r="QE618" s="203" t="s">
        <v>63</v>
      </c>
      <c r="QF618" s="10">
        <f>QD618*1.4</f>
        <v>151.19999999999999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VLOOKUP(QJ618,$A$681:$F$2272,6,FALSE)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VLOOKUP(QS618,$A$681:$F$2272,6,FALSE)</f>
        <v>240</v>
      </c>
      <c r="QW618" s="203" t="s">
        <v>63</v>
      </c>
      <c r="QX618" s="10">
        <f>QV618*1.4</f>
        <v>336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VLOOKUP(RB618,$A$681:$F$2272,6,FALSE)</f>
        <v>108</v>
      </c>
      <c r="RF618" s="203" t="s">
        <v>63</v>
      </c>
      <c r="RG618" s="10">
        <f>RE618*1.4</f>
        <v>151.19999999999999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VLOOKUP(RK618,$A$681:$F$2272,6,FALSE)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VLOOKUP(RT618,$A$681:$F$2272,6,FALSE)</f>
        <v>234</v>
      </c>
      <c r="RX618" s="203" t="s">
        <v>63</v>
      </c>
      <c r="RY618" s="10">
        <f>RW618*1.4</f>
        <v>327.59999999999997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VLOOKUP(SC618,$A$681:$F$2272,6,FALSE)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VLOOKUP(SL618,$A$681:$F$2272,6,FALSE)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VLOOKUP(SU618,$A$681:$F$2272,6,FALSE)</f>
        <v>108</v>
      </c>
      <c r="SY618" s="203" t="s">
        <v>63</v>
      </c>
      <c r="SZ618" s="10">
        <f>SX618*1.4</f>
        <v>151.19999999999999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VLOOKUP(TD618,$A$681:$F$2272,6,FALSE)</f>
        <v>108</v>
      </c>
      <c r="TH618" s="203" t="s">
        <v>63</v>
      </c>
      <c r="TI618" s="10">
        <f>TG618*1.4</f>
        <v>151.19999999999999</v>
      </c>
      <c r="TK618" s="274"/>
      <c r="TL618" s="203" t="s">
        <v>81</v>
      </c>
      <c r="TM618" s="277" t="s">
        <v>452</v>
      </c>
      <c r="TO618" s="204"/>
      <c r="TP618" s="204">
        <f>VLOOKUP(TM618,$A$681:$F$2272,6,FALSE)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VLOOKUP(TV618,$A$681:$F$2272,6,FALSE)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VLOOKUP(UE618,$A$681:$F$2272,6,FALSE)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VLOOKUP(UN618,$A$681:$F$2272,6,FALSE)</f>
        <v>46</v>
      </c>
      <c r="UR618" s="203" t="s">
        <v>63</v>
      </c>
      <c r="US618" s="10">
        <f>UQ618*1.4</f>
        <v>64.399999999999991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VLOOKUP(UW618,$A$681:$F$2272,6,FALSE)</f>
        <v>108</v>
      </c>
      <c r="VA618" s="203" t="s">
        <v>63</v>
      </c>
      <c r="VB618" s="10">
        <f>UZ618*1.4</f>
        <v>151.19999999999999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VLOOKUP(VF618,$A$681:$F$2272,6,FALSE)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VLOOKUP(VO618,$A$681:$F$2272,6,FALSE)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VLOOKUP(VX618,$A$681:$F$2272,6,FALSE)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VLOOKUP(WG618,$A$681:$F$2272,6,FALSE)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VLOOKUP(WP618,$A$681:$F$2272,6,FALSE)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VLOOKUP(WY618,$A$681:$F$2272,6,FALSE)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VLOOKUP(XH618,$A$681:$F$2272,6,FALSE)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1266</v>
      </c>
      <c r="XS618" s="204"/>
      <c r="XT618" s="204">
        <f>VLOOKUP(XQ618,$A$681:$F$2272,6,FALSE)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VLOOKUP(XZ618,$A$681:$F$2272,6,FALSE)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VLOOKUP(YI618,$A$681:$F$2272,6,FALSE)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VLOOKUP(YR618,$A$681:$F$2272,6,FALSE)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VLOOKUP(ZA618,$A$681:$F$2272,6,FALSE)</f>
        <v>240</v>
      </c>
      <c r="ZE618" s="203" t="s">
        <v>63</v>
      </c>
      <c r="ZF618" s="10">
        <f>ZD618*1.4</f>
        <v>336</v>
      </c>
      <c r="ZH618" s="274"/>
      <c r="ZI618" s="203" t="s">
        <v>81</v>
      </c>
      <c r="ZJ618" s="277" t="s">
        <v>452</v>
      </c>
      <c r="ZL618" s="204"/>
      <c r="ZM618" s="204">
        <f>VLOOKUP(ZJ618,$A$681:$F$2272,6,FALSE)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VLOOKUP(ZS618,$A$681:$F$2272,6,FALSE)</f>
        <v>240</v>
      </c>
      <c r="ZW618" s="203" t="s">
        <v>63</v>
      </c>
      <c r="ZX618" s="10">
        <f>ZV618*1.4</f>
        <v>336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VLOOKUP(AAB618,$A$681:$F$2272,6,FALSE)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VLOOKUP(AAK618,$A$681:$F$2272,6,FALSE)</f>
        <v>234</v>
      </c>
      <c r="AAO618" s="203" t="s">
        <v>63</v>
      </c>
      <c r="AAP618" s="10">
        <f>AAN618*1.4</f>
        <v>327.59999999999997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VLOOKUP(AAT618,$A$681:$F$2272,6,FALSE)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VLOOKUP(ABC618,$A$681:$F$2272,6,FALSE)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VLOOKUP(ABL618,$A$681:$F$2272,6,FALSE)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VLOOKUP(ABU618,$A$681:$F$2272,6,FALSE)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VLOOKUP(ACD618,$A$681:$F$2272,6,FALSE)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VLOOKUP(ACM618,$A$681:$F$2272,6,FALSE)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VLOOKUP(ACV618,$A$681:$F$2272,6,FALSE)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VLOOKUP(ADE618,$A$681:$F$2272,6,FALSE)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VLOOKUP(ADN618,$A$681:$F$2272,6,FALSE)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VLOOKUP(ADW618,$A$681:$F$2272,6,FALSE)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VLOOKUP(AEF618,$A$681:$F$2272,6,FALSE)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VLOOKUP(AEO618,$A$681:$F$2272,6,FALSE)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VLOOKUP(AEX618,$A$681:$F$2272,6,FALSE)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VLOOKUP(AFG618,$A$681:$F$2272,6,FALSE)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VLOOKUP(AFP618,$A$681:$F$2272,6,FALSE)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VLOOKUP(AFY618,$A$681:$F$2272,6,FALSE)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VLOOKUP(AGH618,$A$681:$F$2272,6,FALSE)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VLOOKUP(AGQ618,$A$681:$F$2272,6,FALSE)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VLOOKUP(AGZ618,$A$681:$F$2272,6,FALSE)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VLOOKUP(AHI618,$A$681:$F$2272,6,FALSE)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VLOOKUP(AHR618,$A$681:$F$2272,6,FALSE)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VLOOKUP(AIA618,$A$681:$F$2272,6,FALSE)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VLOOKUP(AIJ618,$A$681:$F$2272,6,FALSE)</f>
        <v>167</v>
      </c>
      <c r="AIN618" s="203" t="s">
        <v>63</v>
      </c>
      <c r="AIO618" s="10">
        <f>AIM618*1.4</f>
        <v>233.79999999999998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VLOOKUP(AIS618,$A$681:$F$2272,6,FALSE)</f>
        <v>234</v>
      </c>
      <c r="AIW618" s="203" t="s">
        <v>63</v>
      </c>
      <c r="AIX618" s="10">
        <f>AIV618*1.4</f>
        <v>327.59999999999997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VLOOKUP(AJB618,$A$681:$F$2272,6,FALSE)</f>
        <v>240</v>
      </c>
      <c r="AJF618" s="203" t="s">
        <v>63</v>
      </c>
      <c r="AJG618" s="10">
        <f>AJE618*1.4</f>
        <v>336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VLOOKUP(AJK618,$A$681:$F$2272,6,FALSE)</f>
        <v>108</v>
      </c>
      <c r="AJO618" s="203" t="s">
        <v>63</v>
      </c>
      <c r="AJP618" s="10">
        <f>AJN618*1.4</f>
        <v>151.19999999999999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VLOOKUP(AJT618,$A$681:$F$2272,6,FALSE)</f>
        <v>108</v>
      </c>
      <c r="AJX618" s="203" t="s">
        <v>63</v>
      </c>
      <c r="AJY618" s="10">
        <f>AJW618*1.4</f>
        <v>151.19999999999999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VLOOKUP(AKC618,$A$681:$F$2272,6,FALSE)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VLOOKUP(AKL618,$A$681:$F$2272,6,FALSE)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VLOOKUP(AKU618,$A$681:$F$2272,6,FALSE)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VLOOKUP(ALD618,$A$681:$F$2272,6,FALSE)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VLOOKUP(ALM618,$A$681:$F$2272,6,FALSE)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VLOOKUP(ALV618,$A$681:$F$2272,6,FALSE)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VLOOKUP(AME618,$A$681:$F$2272,6,FALSE)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VLOOKUP(AMN618,$A$681:$F$2272,6,FALSE)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VLOOKUP(AMW618,$A$681:$F$2272,6,FALSE)</f>
        <v>108</v>
      </c>
      <c r="ANA618" s="203" t="s">
        <v>63</v>
      </c>
      <c r="ANB618" s="10">
        <f>AMZ618*1.4</f>
        <v>151.19999999999999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VLOOKUP(ANF618,$A$681:$F$2272,6,FALSE)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VLOOKUP(ANO618,$A$681:$F$2272,6,FALSE)</f>
        <v>73</v>
      </c>
      <c r="ANS618" s="203" t="s">
        <v>63</v>
      </c>
      <c r="ANT618" s="10">
        <f>ANR618*1.4</f>
        <v>102.19999999999999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VLOOKUP(ANX618,$A$681:$F$2272,6,FALSE)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2058</v>
      </c>
      <c r="AOI618" s="204"/>
      <c r="AOJ618" s="204">
        <f>VLOOKUP(AOG618,$A$681:$F$2272,6,FALSE)</f>
        <v>126</v>
      </c>
      <c r="AOK618" s="203" t="s">
        <v>63</v>
      </c>
      <c r="AOL618" s="10">
        <f>AOJ618*1.4</f>
        <v>176.39999999999998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VLOOKUP(AOP618,$A$681:$F$2272,6,FALSE)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VLOOKUP(AOY618,$A$681:$F$2272,6,FALSE)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VLOOKUP(APH618,$A$681:$F$2272,6,FALSE)</f>
        <v>108</v>
      </c>
      <c r="APL618" s="203" t="s">
        <v>63</v>
      </c>
      <c r="APM618" s="10">
        <f>APK618*1.4</f>
        <v>151.19999999999999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VLOOKUP(APQ618,$A$681:$F$2272,6,FALSE)</f>
        <v>167</v>
      </c>
      <c r="APU618" s="203" t="s">
        <v>63</v>
      </c>
      <c r="APV618" s="10">
        <f>APT618*1.4</f>
        <v>233.79999999999998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VLOOKUP(APZ618,$A$681:$F$2272,6,FALSE)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VLOOKUP(B619,$A$681:$F$2272,6,FALSE)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VLOOKUP(K619,$A$681:$F$2272,6,FALSE)</f>
        <v>234</v>
      </c>
      <c r="O619" s="203" t="s">
        <v>65</v>
      </c>
      <c r="P619" s="10">
        <f>N619*1.3</f>
        <v>304.2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VLOOKUP(T619,$A$681:$F$2272,6,FALSE)</f>
        <v>234</v>
      </c>
      <c r="X619" s="203" t="s">
        <v>65</v>
      </c>
      <c r="Y619" s="10">
        <f>W619*1.3</f>
        <v>304.2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VLOOKUP(AC619,$A$681:$F$2272,6,FALSE)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VLOOKUP(AL619,$A$681:$F$2272,6,FALSE)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VLOOKUP(AU619,$A$681:$F$2272,6,FALSE)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VLOOKUP(BD619,$A$681:$F$2272,6,FALSE)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VLOOKUP(BM619,$A$681:$F$2272,6,FALSE)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VLOOKUP(BV619,$A$681:$F$2272,6,FALSE)</f>
        <v>42</v>
      </c>
      <c r="BZ619" s="203" t="s">
        <v>65</v>
      </c>
      <c r="CA619" s="10">
        <f>BY619*1.3</f>
        <v>54.6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VLOOKUP(CE619,$A$681:$F$2272,6,FALSE)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VLOOKUP(CN619,$A$681:$F$2272,6,FALSE)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VLOOKUP(CW619,$A$681:$F$2272,6,FALSE)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VLOOKUP(DF619,$A$681:$F$2272,6,FALSE)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VLOOKUP(DO619,$A$681:$F$2272,6,FALSE)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VLOOKUP(DX619,$A$681:$F$2272,6,FALSE)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VLOOKUP(EG619,$A$681:$F$2272,6,FALSE)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VLOOKUP(EP619,$A$681:$F$2272,6,FALSE)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VLOOKUP(EY619,$A$681:$F$2272,6,FALSE)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2058</v>
      </c>
      <c r="FJ619" s="204"/>
      <c r="FK619" s="204">
        <f>VLOOKUP(FH619,$A$681:$F$2272,6,FALSE)</f>
        <v>126</v>
      </c>
      <c r="FL619" s="203" t="s">
        <v>65</v>
      </c>
      <c r="FM619" s="10">
        <f>FK619*1.3</f>
        <v>163.80000000000001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VLOOKUP(FQ619,$A$681:$F$2272,6,FALSE)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VLOOKUP(FZ619,$A$681:$F$2272,6,FALSE)</f>
        <v>234</v>
      </c>
      <c r="GD619" s="203" t="s">
        <v>65</v>
      </c>
      <c r="GE619" s="10">
        <f>GC619*1.3</f>
        <v>304.2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VLOOKUP(GI619,$A$681:$F$2272,6,FALSE)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VLOOKUP(GR619,$A$681:$F$2272,6,FALSE)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VLOOKUP(HA619,$A$681:$F$2272,6,FALSE)</f>
        <v>46</v>
      </c>
      <c r="HE619" s="203" t="s">
        <v>65</v>
      </c>
      <c r="HF619" s="10">
        <f>HD619*1.3</f>
        <v>59.800000000000004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VLOOKUP(HJ619,$A$681:$F$2272,6,FALSE)</f>
        <v>234</v>
      </c>
      <c r="HN619" s="203" t="s">
        <v>65</v>
      </c>
      <c r="HO619" s="10">
        <f>HM619*1.3</f>
        <v>304.2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VLOOKUP(HS619,$A$681:$F$2272,6,FALSE)</f>
        <v>234</v>
      </c>
      <c r="HW619" s="203" t="s">
        <v>65</v>
      </c>
      <c r="HX619" s="10">
        <f>HV619*1.3</f>
        <v>304.2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VLOOKUP(IB619,$A$681:$F$2272,6,FALSE)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2058</v>
      </c>
      <c r="IM619" s="204"/>
      <c r="IN619" s="204">
        <f>VLOOKUP(IK619,$A$681:$F$2272,6,FALSE)</f>
        <v>126</v>
      </c>
      <c r="IO619" s="203" t="s">
        <v>65</v>
      </c>
      <c r="IP619" s="10">
        <f>IN619*1.3</f>
        <v>163.80000000000001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VLOOKUP(IT619,$A$681:$F$2272,6,FALSE)</f>
        <v>108</v>
      </c>
      <c r="IX619" s="203" t="s">
        <v>65</v>
      </c>
      <c r="IY619" s="10">
        <f>IW619*1.3</f>
        <v>140.4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VLOOKUP(JC619,$A$681:$F$2272,6,FALSE)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2058</v>
      </c>
      <c r="JN619" s="204"/>
      <c r="JO619" s="204">
        <f>VLOOKUP(JL619,$A$681:$F$2272,6,FALSE)</f>
        <v>126</v>
      </c>
      <c r="JP619" s="203" t="s">
        <v>65</v>
      </c>
      <c r="JQ619" s="10">
        <f>JO619*1.3</f>
        <v>163.80000000000001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VLOOKUP(JU619,$A$681:$F$2272,6,FALSE)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VLOOKUP(KD619,$A$681:$F$2272,6,FALSE)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VLOOKUP(KM619,$A$681:$F$2272,6,FALSE)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VLOOKUP(KV619,$A$681:$F$2272,6,FALSE)</f>
        <v>234</v>
      </c>
      <c r="KZ619" s="203" t="s">
        <v>65</v>
      </c>
      <c r="LA619" s="10">
        <f>KY619*1.3</f>
        <v>304.2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VLOOKUP(LE619,$A$681:$F$2272,6,FALSE)</f>
        <v>73</v>
      </c>
      <c r="LI619" s="203" t="s">
        <v>65</v>
      </c>
      <c r="LJ619" s="10">
        <f>LH619*1.3</f>
        <v>94.9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VLOOKUP(LN619,$A$681:$F$2272,6,FALSE)</f>
        <v>240</v>
      </c>
      <c r="LR619" s="203" t="s">
        <v>65</v>
      </c>
      <c r="LS619" s="10">
        <f>LQ619*1.3</f>
        <v>312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VLOOKUP(LW619,$A$681:$F$2272,6,FALSE)</f>
        <v>108</v>
      </c>
      <c r="MA619" s="203" t="s">
        <v>65</v>
      </c>
      <c r="MB619" s="10">
        <f>LZ619*1.3</f>
        <v>140.4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VLOOKUP(MF619,$A$681:$F$2272,6,FALSE)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VLOOKUP(MO619,$A$681:$F$2272,6,FALSE)</f>
        <v>240</v>
      </c>
      <c r="MS619" s="203" t="s">
        <v>65</v>
      </c>
      <c r="MT619" s="10">
        <f>MR619*1.3</f>
        <v>312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VLOOKUP(MX619,$A$681:$F$2272,6,FALSE)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VLOOKUP(NG619,$A$681:$F$2272,6,FALSE)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VLOOKUP(NP619,$A$681:$F$2272,6,FALSE)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VLOOKUP(NY619,$A$681:$F$2272,6,FALSE)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VLOOKUP(OH619,$A$681:$F$2272,6,FALSE)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VLOOKUP(OQ619,$A$681:$F$2272,6,FALSE)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29" t="s">
        <v>2058</v>
      </c>
      <c r="PB619" s="204"/>
      <c r="PC619" s="204">
        <f>VLOOKUP(OZ619,$A$681:$F$2272,6,FALSE)</f>
        <v>126</v>
      </c>
      <c r="PD619" s="203" t="s">
        <v>65</v>
      </c>
      <c r="PE619" s="10">
        <f>PC619*1.3</f>
        <v>163.80000000000001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VLOOKUP(PI619,$A$681:$F$2272,6,FALSE)</f>
        <v>234</v>
      </c>
      <c r="PM619" s="203" t="s">
        <v>65</v>
      </c>
      <c r="PN619" s="10">
        <f>PL619*1.3</f>
        <v>304.2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VLOOKUP(PR619,$A$681:$F$2272,6,FALSE)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VLOOKUP(QA619,$A$681:$F$2272,6,FALSE)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VLOOKUP(QJ619,$A$681:$F$2272,6,FALSE)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VLOOKUP(QS619,$A$681:$F$2272,6,FALSE)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VLOOKUP(RB619,$A$681:$F$2272,6,FALSE)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VLOOKUP(RK619,$A$681:$F$2272,6,FALSE)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VLOOKUP(RT619,$A$681:$F$2272,6,FALSE)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VLOOKUP(SC619,$A$681:$F$2272,6,FALSE)</f>
        <v>234</v>
      </c>
      <c r="SG619" s="203" t="s">
        <v>65</v>
      </c>
      <c r="SH619" s="10">
        <f>SF619*1.3</f>
        <v>304.2</v>
      </c>
      <c r="SI619" s="10"/>
      <c r="SJ619" s="274"/>
      <c r="SK619" s="203" t="s">
        <v>82</v>
      </c>
      <c r="SL619" s="277" t="s">
        <v>2058</v>
      </c>
      <c r="SN619" s="204"/>
      <c r="SO619" s="204">
        <f>VLOOKUP(SL619,$A$681:$F$2272,6,FALSE)</f>
        <v>126</v>
      </c>
      <c r="SP619" s="203" t="s">
        <v>65</v>
      </c>
      <c r="SQ619" s="10">
        <f>SO619*1.3</f>
        <v>163.80000000000001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VLOOKUP(SU619,$A$681:$F$2272,6,FALSE)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VLOOKUP(TD619,$A$681:$F$2272,6,FALSE)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VLOOKUP(TM619,$A$681:$F$2272,6,FALSE)</f>
        <v>167</v>
      </c>
      <c r="TQ619" s="203" t="s">
        <v>65</v>
      </c>
      <c r="TR619" s="10">
        <f>TP619*1.3</f>
        <v>217.1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VLOOKUP(TV619,$A$681:$F$2272,6,FALSE)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VLOOKUP(UE619,$A$681:$F$2272,6,FALSE)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VLOOKUP(UN619,$A$681:$F$2272,6,FALSE)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VLOOKUP(UW619,$A$681:$F$2272,6,FALSE)</f>
        <v>48</v>
      </c>
      <c r="VA619" s="203" t="s">
        <v>65</v>
      </c>
      <c r="VB619" s="10">
        <f>UZ619*1.3</f>
        <v>62.400000000000006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VLOOKUP(VF619,$A$681:$F$2272,6,FALSE)</f>
        <v>42</v>
      </c>
      <c r="VJ619" s="203" t="s">
        <v>65</v>
      </c>
      <c r="VK619" s="10">
        <f>VI619*1.3</f>
        <v>54.6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VLOOKUP(VO619,$A$681:$F$2272,6,FALSE)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VLOOKUP(VX619,$A$681:$F$2272,6,FALSE)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VLOOKUP(WG619,$A$681:$F$2272,6,FALSE)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VLOOKUP(WP619,$A$681:$F$2272,6,FALSE)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VLOOKUP(WY619,$A$681:$F$2272,6,FALSE)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VLOOKUP(XH619,$A$681:$F$2272,6,FALSE)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VLOOKUP(XQ619,$A$681:$F$2272,6,FALSE)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VLOOKUP(XZ619,$A$681:$F$2272,6,FALSE)</f>
        <v>240</v>
      </c>
      <c r="YD619" s="203" t="s">
        <v>65</v>
      </c>
      <c r="YE619" s="10">
        <f>YC619*1.3</f>
        <v>312</v>
      </c>
      <c r="YG619" s="274"/>
      <c r="YH619" s="203" t="s">
        <v>82</v>
      </c>
      <c r="YI619" s="279" t="s">
        <v>183</v>
      </c>
      <c r="YK619" s="204"/>
      <c r="YL619" s="204" t="e">
        <f>VLOOKUP(YI619,$A$681:$F$2272,6,FALSE)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VLOOKUP(YR619,$A$681:$F$2272,6,FALSE)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VLOOKUP(ZA619,$A$681:$F$2272,6,FALSE)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VLOOKUP(ZJ619,$A$681:$F$2272,6,FALSE)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598</v>
      </c>
      <c r="ZU619" s="204"/>
      <c r="ZV619" s="204">
        <f>VLOOKUP(ZS619,$A$681:$F$2272,6,FALSE)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VLOOKUP(AAB619,$A$681:$F$2272,6,FALSE)</f>
        <v>108</v>
      </c>
      <c r="AAF619" s="203" t="s">
        <v>65</v>
      </c>
      <c r="AAG619" s="10">
        <f>AAE619*1.3</f>
        <v>140.4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VLOOKUP(AAK619,$A$681:$F$2272,6,FALSE)</f>
        <v>108</v>
      </c>
      <c r="AAO619" s="203" t="s">
        <v>65</v>
      </c>
      <c r="AAP619" s="10">
        <f>AAN619*1.3</f>
        <v>140.4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VLOOKUP(AAT619,$A$681:$F$2272,6,FALSE)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VLOOKUP(ABC619,$A$681:$F$2272,6,FALSE)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VLOOKUP(ABL619,$A$681:$F$2272,6,FALSE)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VLOOKUP(ABU619,$A$681:$F$2272,6,FALSE)</f>
        <v>42</v>
      </c>
      <c r="ABY619" s="203" t="s">
        <v>65</v>
      </c>
      <c r="ABZ619" s="10">
        <f>ABX619*1.3</f>
        <v>54.6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VLOOKUP(ACD619,$A$681:$F$2272,6,FALSE)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VLOOKUP(ACM619,$A$681:$F$2272,6,FALSE)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VLOOKUP(ACV619,$A$681:$F$2272,6,FALSE)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VLOOKUP(ADE619,$A$681:$F$2272,6,FALSE)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VLOOKUP(ADN619,$A$681:$F$2272,6,FALSE)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VLOOKUP(ADW619,$A$681:$F$2272,6,FALSE)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VLOOKUP(AEF619,$A$681:$F$2272,6,FALSE)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VLOOKUP(AEO619,$A$681:$F$2272,6,FALSE)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VLOOKUP(AEX619,$A$681:$F$2272,6,FALSE)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VLOOKUP(AFG619,$A$681:$F$2272,6,FALSE)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VLOOKUP(AFP619,$A$681:$F$2272,6,FALSE)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VLOOKUP(AFY619,$A$681:$F$2272,6,FALSE)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VLOOKUP(AGH619,$A$681:$F$2272,6,FALSE)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VLOOKUP(AGQ619,$A$681:$F$2272,6,FALSE)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VLOOKUP(AGZ619,$A$681:$F$2272,6,FALSE)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VLOOKUP(AHI619,$A$681:$F$2272,6,FALSE)</f>
        <v>73</v>
      </c>
      <c r="AHM619" s="203" t="s">
        <v>65</v>
      </c>
      <c r="AHN619" s="10">
        <f>AHL619*1.3</f>
        <v>94.9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VLOOKUP(AHR619,$A$681:$F$2272,6,FALSE)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VLOOKUP(AIA619,$A$681:$F$2272,6,FALSE)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VLOOKUP(AIJ619,$A$681:$F$2272,6,FALSE)</f>
        <v>108</v>
      </c>
      <c r="AIN619" s="203" t="s">
        <v>65</v>
      </c>
      <c r="AIO619" s="10">
        <f>AIM619*1.3</f>
        <v>140.4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VLOOKUP(AIS619,$A$681:$F$2272,6,FALSE)</f>
        <v>108</v>
      </c>
      <c r="AIW619" s="203" t="s">
        <v>65</v>
      </c>
      <c r="AIX619" s="10">
        <f>AIV619*1.3</f>
        <v>140.4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VLOOKUP(AJB619,$A$681:$F$2272,6,FALSE)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VLOOKUP(AJK619,$A$681:$F$2272,6,FALSE)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VLOOKUP(AJT619,$A$681:$F$2272,6,FALSE)</f>
        <v>234</v>
      </c>
      <c r="AJX619" s="203" t="s">
        <v>65</v>
      </c>
      <c r="AJY619" s="10">
        <f>AJW619*1.3</f>
        <v>304.2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VLOOKUP(AKC619,$A$681:$F$2272,6,FALSE)</f>
        <v>234</v>
      </c>
      <c r="AKG619" s="203" t="s">
        <v>65</v>
      </c>
      <c r="AKH619" s="10">
        <f>AKF619*1.3</f>
        <v>304.2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VLOOKUP(AKL619,$A$681:$F$2272,6,FALSE)</f>
        <v>108</v>
      </c>
      <c r="AKP619" s="203" t="s">
        <v>65</v>
      </c>
      <c r="AKQ619" s="10">
        <f>AKO619*1.3</f>
        <v>140.4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VLOOKUP(AKU619,$A$681:$F$2272,6,FALSE)</f>
        <v>108</v>
      </c>
      <c r="AKY619" s="203" t="s">
        <v>65</v>
      </c>
      <c r="AKZ619" s="10">
        <f>AKX619*1.3</f>
        <v>140.4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VLOOKUP(ALD619,$A$681:$F$2272,6,FALSE)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VLOOKUP(ALM619,$A$681:$F$2272,6,FALSE)</f>
        <v>240</v>
      </c>
      <c r="ALQ619" s="203" t="s">
        <v>65</v>
      </c>
      <c r="ALR619" s="10">
        <f>ALP619*1.3</f>
        <v>312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VLOOKUP(ALV619,$A$681:$F$2272,6,FALSE)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VLOOKUP(AME619,$A$681:$F$2272,6,FALSE)</f>
        <v>108</v>
      </c>
      <c r="AMI619" s="203" t="s">
        <v>65</v>
      </c>
      <c r="AMJ619" s="10">
        <f>AMH619*1.3</f>
        <v>140.4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VLOOKUP(AMN619,$A$681:$F$2272,6,FALSE)</f>
        <v>108</v>
      </c>
      <c r="AMR619" s="203" t="s">
        <v>65</v>
      </c>
      <c r="AMS619" s="10">
        <f>AMQ619*1.3</f>
        <v>140.4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VLOOKUP(AMW619,$A$681:$F$2272,6,FALSE)</f>
        <v>234</v>
      </c>
      <c r="ANA619" s="203" t="s">
        <v>65</v>
      </c>
      <c r="ANB619" s="10">
        <f>AMZ619*1.3</f>
        <v>304.2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VLOOKUP(ANF619,$A$681:$F$2272,6,FALSE)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VLOOKUP(ANO619,$A$681:$F$2272,6,FALSE)</f>
        <v>167</v>
      </c>
      <c r="ANS619" s="203" t="s">
        <v>65</v>
      </c>
      <c r="ANT619" s="10">
        <f>ANR619*1.3</f>
        <v>217.1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VLOOKUP(ANX619,$A$681:$F$2272,6,FALSE)</f>
        <v>42</v>
      </c>
      <c r="AOB619" s="203" t="s">
        <v>65</v>
      </c>
      <c r="AOC619" s="10">
        <f>AOA619*1.3</f>
        <v>54.6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VLOOKUP(AOG619,$A$681:$F$2272,6,FALSE)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VLOOKUP(AOP619,$A$681:$F$2272,6,FALSE)</f>
        <v>240</v>
      </c>
      <c r="AOT619" s="203" t="s">
        <v>65</v>
      </c>
      <c r="AOU619" s="10">
        <f>AOS619*1.3</f>
        <v>312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VLOOKUP(AOY619,$A$681:$F$2272,6,FALSE)</f>
        <v>234</v>
      </c>
      <c r="APC619" s="203" t="s">
        <v>65</v>
      </c>
      <c r="APD619" s="10">
        <f>APB619*1.3</f>
        <v>304.2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VLOOKUP(APH619,$A$681:$F$2272,6,FALSE)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VLOOKUP(APQ619,$A$681:$F$2272,6,FALSE)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VLOOKUP(APZ619,$A$681:$F$2272,6,FALSE)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VLOOKUP(B620,$A$681:$F$2272,6,FALSE)</f>
        <v>234</v>
      </c>
      <c r="F620" s="203" t="s">
        <v>67</v>
      </c>
      <c r="G620" s="10">
        <f>E620*1.2</f>
        <v>280.8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VLOOKUP(K620,$A$681:$F$2272,6,FALSE)</f>
        <v>46</v>
      </c>
      <c r="O620" s="203" t="s">
        <v>67</v>
      </c>
      <c r="P620" s="10">
        <f>N620*1.2</f>
        <v>55.199999999999996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VLOOKUP(T620,$A$681:$F$2272,6,FALSE)</f>
        <v>240</v>
      </c>
      <c r="X620" s="203" t="s">
        <v>67</v>
      </c>
      <c r="Y620" s="10">
        <f>W620*1.2</f>
        <v>288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VLOOKUP(AC620,$A$681:$F$2272,6,FALSE)</f>
        <v>234</v>
      </c>
      <c r="AG620" s="203" t="s">
        <v>67</v>
      </c>
      <c r="AH620" s="10">
        <f>AF620*1.2</f>
        <v>280.8</v>
      </c>
      <c r="AI620" s="10"/>
      <c r="AJ620" s="268"/>
      <c r="AK620" s="203" t="s">
        <v>83</v>
      </c>
      <c r="AL620" s="277" t="s">
        <v>2058</v>
      </c>
      <c r="AN620" s="204"/>
      <c r="AO620" s="204">
        <f>VLOOKUP(AL620,$A$681:$F$2272,6,FALSE)</f>
        <v>126</v>
      </c>
      <c r="AP620" s="203" t="s">
        <v>67</v>
      </c>
      <c r="AQ620" s="10">
        <f>AO620*1.2</f>
        <v>151.19999999999999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VLOOKUP(AU620,$A$681:$F$2272,6,FALSE)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VLOOKUP(BD620,$A$681:$F$2272,6,FALSE)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VLOOKUP(BM620,$A$681:$F$2272,6,FALSE)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VLOOKUP(BV620,$A$681:$F$2272,6,FALSE)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VLOOKUP(CE620,$A$681:$F$2272,6,FALSE)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VLOOKUP(CN620,$A$681:$F$2272,6,FALSE)</f>
        <v>48</v>
      </c>
      <c r="CR620" s="203" t="s">
        <v>67</v>
      </c>
      <c r="CS620" s="10">
        <f>CQ620*1.2</f>
        <v>57.599999999999994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VLOOKUP(CW620,$A$681:$F$2272,6,FALSE)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VLOOKUP(DF620,$A$681:$F$2272,6,FALSE)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VLOOKUP(DO620,$A$681:$F$2272,6,FALSE)</f>
        <v>234</v>
      </c>
      <c r="DS620" s="203" t="s">
        <v>67</v>
      </c>
      <c r="DT620" s="10">
        <f>DR620*1.2</f>
        <v>280.8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VLOOKUP(DX620,$A$681:$F$2272,6,FALSE)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VLOOKUP(EG620,$A$681:$F$2272,6,FALSE)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2058</v>
      </c>
      <c r="ER620" s="204"/>
      <c r="ES620" s="204">
        <f>VLOOKUP(EP620,$A$681:$F$2272,6,FALSE)</f>
        <v>126</v>
      </c>
      <c r="ET620" s="203" t="s">
        <v>67</v>
      </c>
      <c r="EU620" s="10">
        <f>ES620*1.2</f>
        <v>151.19999999999999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VLOOKUP(EY620,$A$681:$F$2272,6,FALSE)</f>
        <v>167</v>
      </c>
      <c r="FC620" s="203" t="s">
        <v>67</v>
      </c>
      <c r="FD620" s="10">
        <f>FB620*1.2</f>
        <v>200.4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VLOOKUP(FH620,$A$681:$F$2272,6,FALSE)</f>
        <v>46</v>
      </c>
      <c r="FL620" s="203" t="s">
        <v>67</v>
      </c>
      <c r="FM620" s="10">
        <f>FK620*1.2</f>
        <v>55.199999999999996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VLOOKUP(FQ620,$A$681:$F$2272,6,FALSE)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VLOOKUP(FZ620,$A$681:$F$2272,6,FALSE)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VLOOKUP(GI620,$A$681:$F$2272,6,FALSE)</f>
        <v>108</v>
      </c>
      <c r="GM620" s="203" t="s">
        <v>67</v>
      </c>
      <c r="GN620" s="10">
        <f>GL620*1.2</f>
        <v>129.6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VLOOKUP(GR620,$A$681:$F$2272,6,FALSE)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VLOOKUP(HA620,$A$681:$F$2272,6,FALSE)</f>
        <v>108</v>
      </c>
      <c r="HE620" s="203" t="s">
        <v>67</v>
      </c>
      <c r="HF620" s="10">
        <f>HD620*1.2</f>
        <v>129.6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VLOOKUP(HJ620,$A$681:$F$2272,6,FALSE)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VLOOKUP(HS620,$A$681:$F$2272,6,FALSE)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VLOOKUP(IB620,$A$681:$F$2272,6,FALSE)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VLOOKUP(IK620,$A$681:$F$2272,6,FALSE)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VLOOKUP(IT620,$A$681:$F$2272,6,FALSE)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VLOOKUP(JC620,$A$681:$F$2272,6,FALSE)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VLOOKUP(JL620,$A$681:$F$2272,6,FALSE)</f>
        <v>234</v>
      </c>
      <c r="JP620" s="203" t="s">
        <v>67</v>
      </c>
      <c r="JQ620" s="10">
        <f>JO620*1.2</f>
        <v>280.8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VLOOKUP(JU620,$A$681:$F$2272,6,FALSE)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VLOOKUP(KD620,$A$681:$F$2272,6,FALSE)</f>
        <v>108</v>
      </c>
      <c r="KH620" s="203" t="s">
        <v>67</v>
      </c>
      <c r="KI620" s="10">
        <f>KG620*1.2</f>
        <v>129.6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VLOOKUP(KM620,$A$681:$F$2272,6,FALSE)</f>
        <v>167</v>
      </c>
      <c r="KQ620" s="203" t="s">
        <v>67</v>
      </c>
      <c r="KR620" s="10">
        <f>KP620*1.2</f>
        <v>200.4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VLOOKUP(KV620,$A$681:$F$2272,6,FALSE)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VLOOKUP(LE620,$A$681:$F$2272,6,FALSE)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VLOOKUP(LN620,$A$681:$F$2272,6,FALSE)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VLOOKUP(LW620,$A$681:$F$2272,6,FALSE)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VLOOKUP(MF620,$A$681:$F$2272,6,FALSE)</f>
        <v>234</v>
      </c>
      <c r="MJ620" s="203" t="s">
        <v>67</v>
      </c>
      <c r="MK620" s="10">
        <f>MI620*1.2</f>
        <v>280.8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VLOOKUP(MO620,$A$681:$F$2272,6,FALSE)</f>
        <v>167</v>
      </c>
      <c r="MS620" s="203" t="s">
        <v>67</v>
      </c>
      <c r="MT620" s="10">
        <f>MR620*1.2</f>
        <v>200.4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VLOOKUP(MX620,$A$681:$F$2272,6,FALSE)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VLOOKUP(NG620,$A$681:$F$2272,6,FALSE)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VLOOKUP(NP620,$A$681:$F$2272,6,FALSE)</f>
        <v>234</v>
      </c>
      <c r="NT620" s="203" t="s">
        <v>67</v>
      </c>
      <c r="NU620" s="10">
        <f>NS620*1.2</f>
        <v>280.8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VLOOKUP(NY620,$A$681:$F$2272,6,FALSE)</f>
        <v>167</v>
      </c>
      <c r="OC620" s="203" t="s">
        <v>67</v>
      </c>
      <c r="OD620" s="10">
        <f>OB620*1.2</f>
        <v>200.4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VLOOKUP(OH620,$A$681:$F$2272,6,FALSE)</f>
        <v>234</v>
      </c>
      <c r="OL620" s="203" t="s">
        <v>67</v>
      </c>
      <c r="OM620" s="10">
        <f>OK620*1.2</f>
        <v>280.8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VLOOKUP(OQ620,$A$681:$F$2272,6,FALSE)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VLOOKUP(OZ620,$A$681:$F$2272,6,FALSE)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2058</v>
      </c>
      <c r="PK620" s="204"/>
      <c r="PL620" s="204">
        <f>VLOOKUP(PI620,$A$681:$F$2272,6,FALSE)</f>
        <v>126</v>
      </c>
      <c r="PM620" s="203" t="s">
        <v>67</v>
      </c>
      <c r="PN620" s="10">
        <f>PL620*1.2</f>
        <v>151.19999999999999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VLOOKUP(PR620,$A$681:$F$2272,6,FALSE)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VLOOKUP(QA620,$A$681:$F$2272,6,FALSE)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VLOOKUP(QJ620,$A$681:$F$2272,6,FALSE)</f>
        <v>108</v>
      </c>
      <c r="QN620" s="203" t="s">
        <v>67</v>
      </c>
      <c r="QO620" s="10">
        <f>QM620*1.2</f>
        <v>129.6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VLOOKUP(QS620,$A$681:$F$2272,6,FALSE)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VLOOKUP(RB620,$A$681:$F$2272,6,FALSE)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VLOOKUP(RK620,$A$681:$F$2272,6,FALSE)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VLOOKUP(RT620,$A$681:$F$2272,6,FALSE)</f>
        <v>108</v>
      </c>
      <c r="RX620" s="203" t="s">
        <v>67</v>
      </c>
      <c r="RY620" s="10">
        <f>RW620*1.2</f>
        <v>129.6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VLOOKUP(SC620,$A$681:$F$2272,6,FALSE)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VLOOKUP(SL620,$A$681:$F$2272,6,FALSE)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VLOOKUP(SU620,$A$681:$F$2272,6,FALSE)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VLOOKUP(TD620,$A$681:$F$2272,6,FALSE)</f>
        <v>234</v>
      </c>
      <c r="TH620" s="203" t="s">
        <v>67</v>
      </c>
      <c r="TI620" s="10">
        <f>TG620*1.2</f>
        <v>280.8</v>
      </c>
      <c r="TK620" s="274"/>
      <c r="TL620" s="203" t="s">
        <v>83</v>
      </c>
      <c r="TM620" s="277" t="s">
        <v>484</v>
      </c>
      <c r="TO620" s="204"/>
      <c r="TP620" s="204">
        <f>VLOOKUP(TM620,$A$681:$F$2272,6,FALSE)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VLOOKUP(TV620,$A$681:$F$2272,6,FALSE)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VLOOKUP(UE620,$A$681:$F$2272,6,FALSE)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VLOOKUP(UN620,$A$681:$F$2272,6,FALSE)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VLOOKUP(UW620,$A$681:$F$2272,6,FALSE)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VLOOKUP(VF620,$A$681:$F$2272,6,FALSE)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VLOOKUP(VO620,$A$681:$F$2272,6,FALSE)</f>
        <v>240</v>
      </c>
      <c r="VS620" s="203" t="s">
        <v>67</v>
      </c>
      <c r="VT620" s="10">
        <f>VR620*1.2</f>
        <v>288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VLOOKUP(VX620,$A$681:$F$2272,6,FALSE)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VLOOKUP(WG620,$A$681:$F$2272,6,FALSE)</f>
        <v>46</v>
      </c>
      <c r="WK620" s="203" t="s">
        <v>67</v>
      </c>
      <c r="WL620" s="10">
        <f>WJ620*1.2</f>
        <v>55.199999999999996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VLOOKUP(WP620,$A$681:$F$2272,6,FALSE)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VLOOKUP(WY620,$A$681:$F$2272,6,FALSE)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VLOOKUP(XH620,$A$681:$F$2272,6,FALSE)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VLOOKUP(XQ620,$A$681:$F$2272,6,FALSE)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VLOOKUP(XZ620,$A$681:$F$2272,6,FALSE)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VLOOKUP(YI620,$A$681:$F$2272,6,FALSE)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VLOOKUP(YR620,$A$681:$F$2272,6,FALSE)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VLOOKUP(ZA620,$A$681:$F$2272,6,FALSE)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519</v>
      </c>
      <c r="ZL620" s="204"/>
      <c r="ZM620" s="204">
        <f>VLOOKUP(ZJ620,$A$681:$F$2272,6,FALSE)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VLOOKUP(ZS620,$A$681:$F$2272,6,FALSE)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VLOOKUP(AAB620,$A$681:$F$2272,6,FALSE)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VLOOKUP(AAK620,$A$681:$F$2272,6,FALSE)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VLOOKUP(AAT620,$A$681:$F$2272,6,FALSE)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VLOOKUP(ABC620,$A$681:$F$2272,6,FALSE)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VLOOKUP(ABL620,$A$681:$F$2272,6,FALSE)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VLOOKUP(ABU620,$A$681:$F$2272,6,FALSE)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VLOOKUP(ACD620,$A$681:$F$2272,6,FALSE)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VLOOKUP(ACM620,$A$681:$F$2272,6,FALSE)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VLOOKUP(ACV620,$A$681:$F$2272,6,FALSE)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VLOOKUP(ADE620,$A$681:$F$2272,6,FALSE)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VLOOKUP(ADN620,$A$681:$F$2272,6,FALSE)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VLOOKUP(ADW620,$A$681:$F$2272,6,FALSE)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VLOOKUP(AEF620,$A$681:$F$2272,6,FALSE)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VLOOKUP(AEO620,$A$681:$F$2272,6,FALSE)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VLOOKUP(AEX620,$A$681:$F$2272,6,FALSE)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VLOOKUP(AFG620,$A$681:$F$2272,6,FALSE)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VLOOKUP(AFP620,$A$681:$F$2272,6,FALSE)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VLOOKUP(AFY620,$A$681:$F$2272,6,FALSE)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VLOOKUP(AGH620,$A$681:$F$2272,6,FALSE)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VLOOKUP(AGQ620,$A$681:$F$2272,6,FALSE)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VLOOKUP(AGZ620,$A$681:$F$2272,6,FALSE)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VLOOKUP(AHI620,$A$681:$F$2272,6,FALSE)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2058</v>
      </c>
      <c r="AHT620" s="204"/>
      <c r="AHU620" s="204">
        <f>VLOOKUP(AHR620,$A$681:$F$2272,6,FALSE)</f>
        <v>126</v>
      </c>
      <c r="AHV620" s="203" t="s">
        <v>67</v>
      </c>
      <c r="AHW620" s="10">
        <f>AHU620*1.2</f>
        <v>151.19999999999999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VLOOKUP(AIA620,$A$681:$F$2272,6,FALSE)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VLOOKUP(AIJ620,$A$681:$F$2272,6,FALSE)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VLOOKUP(AIS620,$A$681:$F$2272,6,FALSE)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VLOOKUP(AJB620,$A$681:$F$2272,6,FALSE)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VLOOKUP(AJK620,$A$681:$F$2272,6,FALSE)</f>
        <v>240</v>
      </c>
      <c r="AJO620" s="203" t="s">
        <v>67</v>
      </c>
      <c r="AJP620" s="10">
        <f>AJN620*1.2</f>
        <v>288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VLOOKUP(AJT620,$A$681:$F$2272,6,FALSE)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VLOOKUP(AKC620,$A$681:$F$2272,6,FALSE)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VLOOKUP(AKL620,$A$681:$F$2272,6,FALSE)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VLOOKUP(AKU620,$A$681:$F$2272,6,FALSE)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VLOOKUP(ALD620,$A$681:$F$2272,6,FALSE)</f>
        <v>48</v>
      </c>
      <c r="ALH620" s="203" t="s">
        <v>67</v>
      </c>
      <c r="ALI620" s="10">
        <f>ALG620*1.2</f>
        <v>57.599999999999994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VLOOKUP(ALM620,$A$681:$F$2272,6,FALSE)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VLOOKUP(ALV620,$A$681:$F$2272,6,FALSE)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VLOOKUP(AME620,$A$681:$F$2272,6,FALSE)</f>
        <v>240</v>
      </c>
      <c r="AMI620" s="203" t="s">
        <v>67</v>
      </c>
      <c r="AMJ620" s="10">
        <f>AMH620*1.2</f>
        <v>288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VLOOKUP(AMN620,$A$681:$F$2272,6,FALSE)</f>
        <v>240</v>
      </c>
      <c r="AMR620" s="203" t="s">
        <v>67</v>
      </c>
      <c r="AMS620" s="10">
        <f>AMQ620*1.2</f>
        <v>288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VLOOKUP(AMW620,$A$681:$F$2272,6,FALSE)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VLOOKUP(ANF620,$A$681:$F$2272,6,FALSE)</f>
        <v>108</v>
      </c>
      <c r="ANJ620" s="203" t="s">
        <v>67</v>
      </c>
      <c r="ANK620" s="10">
        <f>ANI620*1.2</f>
        <v>129.6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VLOOKUP(ANO620,$A$681:$F$2272,6,FALSE)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VLOOKUP(ANX620,$A$681:$F$2272,6,FALSE)</f>
        <v>234</v>
      </c>
      <c r="AOB620" s="203" t="s">
        <v>67</v>
      </c>
      <c r="AOC620" s="10">
        <f>AOA620*1.2</f>
        <v>280.8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VLOOKUP(AOG620,$A$681:$F$2272,6,FALSE)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VLOOKUP(AOP620,$A$681:$F$2272,6,FALSE)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VLOOKUP(AOY620,$A$681:$F$2272,6,FALSE)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VLOOKUP(APH620,$A$681:$F$2272,6,FALSE)</f>
        <v>240</v>
      </c>
      <c r="APL620" s="203" t="s">
        <v>67</v>
      </c>
      <c r="APM620" s="10">
        <f>APK620*1.2</f>
        <v>288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VLOOKUP(APQ620,$A$681:$F$2272,6,FALSE)</f>
        <v>240</v>
      </c>
      <c r="APU620" s="203" t="s">
        <v>67</v>
      </c>
      <c r="APV620" s="10">
        <f>APT620*1.2</f>
        <v>288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VLOOKUP(APZ620,$A$681:$F$2272,6,FALSE)</f>
        <v>240</v>
      </c>
      <c r="AQD620" s="203" t="s">
        <v>67</v>
      </c>
      <c r="AQE620" s="10">
        <f>AQC620*1.2</f>
        <v>288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VLOOKUP(B621,$A$681:$F$2272,6,FALSE)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VLOOKUP(K621,$A$681:$F$2272,6,FALSE)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VLOOKUP(T621,$A$681:$F$2272,6,FALSE)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VLOOKUP(AC621,$A$681:$F$2272,6,FALSE)</f>
        <v>46</v>
      </c>
      <c r="AG621" s="203" t="s">
        <v>69</v>
      </c>
      <c r="AH621" s="10">
        <f>AF621*1.1</f>
        <v>50.6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VLOOKUP(AL621,$A$681:$F$2272,6,FALSE)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VLOOKUP(AU621,$A$681:$F$2272,6,FALSE)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2058</v>
      </c>
      <c r="BF621" s="204"/>
      <c r="BG621" s="204">
        <f>VLOOKUP(BD621,$A$681:$F$2272,6,FALSE)</f>
        <v>126</v>
      </c>
      <c r="BH621" s="203" t="s">
        <v>69</v>
      </c>
      <c r="BI621" s="10">
        <f>BG621*1.1</f>
        <v>138.60000000000002</v>
      </c>
      <c r="BJ621" s="10"/>
      <c r="BK621" s="268"/>
      <c r="BL621" s="203" t="s">
        <v>84</v>
      </c>
      <c r="BM621" s="277" t="s">
        <v>2058</v>
      </c>
      <c r="BO621" s="204"/>
      <c r="BP621" s="204">
        <f>VLOOKUP(BM621,$A$681:$F$2272,6,FALSE)</f>
        <v>126</v>
      </c>
      <c r="BQ621" s="203" t="s">
        <v>69</v>
      </c>
      <c r="BR621" s="10">
        <f>BP621*1.1</f>
        <v>138.60000000000002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VLOOKUP(BV621,$A$681:$F$2272,6,FALSE)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2058</v>
      </c>
      <c r="CG621" s="204"/>
      <c r="CH621" s="204">
        <f>VLOOKUP(CE621,$A$681:$F$2272,6,FALSE)</f>
        <v>126</v>
      </c>
      <c r="CI621" s="203" t="s">
        <v>69</v>
      </c>
      <c r="CJ621" s="10">
        <f>CH621*1.1</f>
        <v>138.60000000000002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VLOOKUP(CN621,$A$681:$F$2272,6,FALSE)</f>
        <v>108</v>
      </c>
      <c r="CR621" s="203" t="s">
        <v>69</v>
      </c>
      <c r="CS621" s="10">
        <f>CQ621*1.1</f>
        <v>118.80000000000001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VLOOKUP(CW621,$A$681:$F$2272,6,FALSE)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VLOOKUP(DF621,$A$681:$F$2272,6,FALSE)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VLOOKUP(DO621,$A$681:$F$2272,6,FALSE)</f>
        <v>240</v>
      </c>
      <c r="DS621" s="203" t="s">
        <v>69</v>
      </c>
      <c r="DT621" s="10">
        <f>DR621*1.1</f>
        <v>264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VLOOKUP(DX621,$A$681:$F$2272,6,FALSE)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VLOOKUP(EG621,$A$681:$F$2272,6,FALSE)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VLOOKUP(EP621,$A$681:$F$2272,6,FALSE)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VLOOKUP(EY621,$A$681:$F$2272,6,FALSE)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VLOOKUP(FH621,$A$681:$F$2272,6,FALSE)</f>
        <v>234</v>
      </c>
      <c r="FL621" s="203" t="s">
        <v>69</v>
      </c>
      <c r="FM621" s="10">
        <f>FK621*1.1</f>
        <v>257.40000000000003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VLOOKUP(FQ621,$A$681:$F$2272,6,FALSE)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VLOOKUP(FZ621,$A$681:$F$2272,6,FALSE)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VLOOKUP(GI621,$A$681:$F$2272,6,FALSE)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VLOOKUP(GR621,$A$681:$F$2272,6,FALSE)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VLOOKUP(HA621,$A$681:$F$2272,6,FALSE)</f>
        <v>48</v>
      </c>
      <c r="HE621" s="203" t="s">
        <v>69</v>
      </c>
      <c r="HF621" s="10">
        <f>HD621*1.1</f>
        <v>52.800000000000004</v>
      </c>
      <c r="HG621" s="10"/>
      <c r="HH621" s="268"/>
      <c r="HI621" s="203" t="s">
        <v>84</v>
      </c>
      <c r="HJ621" s="277" t="s">
        <v>2058</v>
      </c>
      <c r="HL621" s="204"/>
      <c r="HM621" s="204">
        <f>VLOOKUP(HJ621,$A$681:$F$2272,6,FALSE)</f>
        <v>126</v>
      </c>
      <c r="HN621" s="203" t="s">
        <v>69</v>
      </c>
      <c r="HO621" s="10">
        <f>HM621*1.1</f>
        <v>138.60000000000002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VLOOKUP(HS621,$A$681:$F$2272,6,FALSE)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VLOOKUP(IB621,$A$681:$F$2272,6,FALSE)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VLOOKUP(IK621,$A$681:$F$2272,6,FALSE)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2058</v>
      </c>
      <c r="IV621" s="204"/>
      <c r="IW621" s="204">
        <f>VLOOKUP(IT621,$A$681:$F$2272,6,FALSE)</f>
        <v>126</v>
      </c>
      <c r="IX621" s="203" t="s">
        <v>69</v>
      </c>
      <c r="IY621" s="10">
        <f>IW621*1.1</f>
        <v>138.60000000000002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VLOOKUP(JC621,$A$681:$F$2272,6,FALSE)</f>
        <v>42</v>
      </c>
      <c r="JG621" s="203" t="s">
        <v>69</v>
      </c>
      <c r="JH621" s="10">
        <f>JF621*1.1</f>
        <v>46.2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VLOOKUP(JL621,$A$681:$F$2272,6,FALSE)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VLOOKUP(JU621,$A$681:$F$2272,6,FALSE)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VLOOKUP(KD621,$A$681:$F$2272,6,FALSE)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VLOOKUP(KM621,$A$681:$F$2272,6,FALSE)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VLOOKUP(KV621,$A$681:$F$2272,6,FALSE)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VLOOKUP(LE621,$A$681:$F$2272,6,FALSE)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VLOOKUP(LN621,$A$681:$F$2272,6,FALSE)</f>
        <v>108</v>
      </c>
      <c r="LR621" s="203" t="s">
        <v>69</v>
      </c>
      <c r="LS621" s="10">
        <f>LQ621*1.1</f>
        <v>118.80000000000001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VLOOKUP(LW621,$A$681:$F$2272,6,FALSE)</f>
        <v>240</v>
      </c>
      <c r="MA621" s="203" t="s">
        <v>69</v>
      </c>
      <c r="MB621" s="10">
        <f>LZ621*1.1</f>
        <v>264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VLOOKUP(MF621,$A$681:$F$2272,6,FALSE)</f>
        <v>108</v>
      </c>
      <c r="MJ621" s="203" t="s">
        <v>69</v>
      </c>
      <c r="MK621" s="10">
        <f>MI621*1.1</f>
        <v>118.80000000000001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VLOOKUP(MO621,$A$681:$F$2272,6,FALSE)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VLOOKUP(MX621,$A$681:$F$2272,6,FALSE)</f>
        <v>73</v>
      </c>
      <c r="NB621" s="203" t="s">
        <v>69</v>
      </c>
      <c r="NC621" s="10">
        <f>NA621*1.1</f>
        <v>80.300000000000011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VLOOKUP(NG621,$A$681:$F$2272,6,FALSE)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VLOOKUP(NP621,$A$681:$F$2272,6,FALSE)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VLOOKUP(NY621,$A$681:$F$2272,6,FALSE)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VLOOKUP(OH621,$A$681:$F$2272,6,FALSE)</f>
        <v>42</v>
      </c>
      <c r="OL621" s="203" t="s">
        <v>69</v>
      </c>
      <c r="OM621" s="10">
        <f>OK621*1.1</f>
        <v>46.2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VLOOKUP(OQ621,$A$681:$F$2272,6,FALSE)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VLOOKUP(OZ621,$A$681:$F$2272,6,FALSE)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VLOOKUP(PI621,$A$681:$F$2272,6,FALSE)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VLOOKUP(PR621,$A$681:$F$2272,6,FALSE)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VLOOKUP(QA621,$A$681:$F$2272,6,FALSE)</f>
        <v>240</v>
      </c>
      <c r="QE621" s="203" t="s">
        <v>69</v>
      </c>
      <c r="QF621" s="10">
        <f>QD621*1.1</f>
        <v>264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VLOOKUP(QJ621,$A$681:$F$2272,6,FALSE)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VLOOKUP(QS621,$A$681:$F$2272,6,FALSE)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VLOOKUP(RB621,$A$681:$F$2272,6,FALSE)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VLOOKUP(RK621,$A$681:$F$2272,6,FALSE)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VLOOKUP(RT621,$A$681:$F$2272,6,FALSE)</f>
        <v>48</v>
      </c>
      <c r="RX621" s="203" t="s">
        <v>69</v>
      </c>
      <c r="RY621" s="10">
        <f>RW621*1.1</f>
        <v>52.800000000000004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VLOOKUP(SC621,$A$681:$F$2272,6,FALSE)</f>
        <v>108</v>
      </c>
      <c r="SG621" s="203" t="s">
        <v>69</v>
      </c>
      <c r="SH621" s="10">
        <f>SF621*1.1</f>
        <v>118.80000000000001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VLOOKUP(SL621,$A$681:$F$2272,6,FALSE)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VLOOKUP(SU621,$A$681:$F$2272,6,FALSE)</f>
        <v>234</v>
      </c>
      <c r="SY621" s="203" t="s">
        <v>69</v>
      </c>
      <c r="SZ621" s="10">
        <f>SX621*1.1</f>
        <v>257.40000000000003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VLOOKUP(TD621,$A$681:$F$2272,6,FALSE)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VLOOKUP(TM621,$A$681:$F$2272,6,FALSE)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VLOOKUP(TV621,$A$681:$F$2272,6,FALSE)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VLOOKUP(UE621,$A$681:$F$2272,6,FALSE)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2058</v>
      </c>
      <c r="UP621" s="204"/>
      <c r="UQ621" s="204">
        <f>VLOOKUP(UN621,$A$681:$F$2272,6,FALSE)</f>
        <v>126</v>
      </c>
      <c r="UR621" s="203" t="s">
        <v>69</v>
      </c>
      <c r="US621" s="10">
        <f>UQ621*1.1</f>
        <v>138.60000000000002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VLOOKUP(UW621,$A$681:$F$2272,6,FALSE)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VLOOKUP(VF621,$A$681:$F$2272,6,FALSE)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VLOOKUP(VO621,$A$681:$F$2272,6,FALSE)</f>
        <v>42</v>
      </c>
      <c r="VS621" s="203" t="s">
        <v>69</v>
      </c>
      <c r="VT621" s="10">
        <f>VR621*1.1</f>
        <v>46.2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VLOOKUP(VX621,$A$681:$F$2272,6,FALSE)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VLOOKUP(WG621,$A$681:$F$2272,6,FALSE)</f>
        <v>108</v>
      </c>
      <c r="WK621" s="203" t="s">
        <v>69</v>
      </c>
      <c r="WL621" s="10">
        <f>WJ621*1.1</f>
        <v>118.80000000000001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VLOOKUP(WP621,$A$681:$F$2272,6,FALSE)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VLOOKUP(WY621,$A$681:$F$2272,6,FALSE)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VLOOKUP(XH621,$A$681:$F$2272,6,FALSE)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VLOOKUP(XQ621,$A$681:$F$2272,6,FALSE)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VLOOKUP(XZ621,$A$681:$F$2272,6,FALSE)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VLOOKUP(YI621,$A$681:$F$2272,6,FALSE)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VLOOKUP(YR621,$A$681:$F$2272,6,FALSE)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VLOOKUP(ZA621,$A$681:$F$2272,6,FALSE)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VLOOKUP(ZJ621,$A$681:$F$2272,6,FALSE)</f>
        <v>234</v>
      </c>
      <c r="ZN621" s="203" t="s">
        <v>69</v>
      </c>
      <c r="ZO621" s="10">
        <f>ZM621*1.1</f>
        <v>257.40000000000003</v>
      </c>
      <c r="ZQ621" s="274"/>
      <c r="ZR621" s="203" t="s">
        <v>84</v>
      </c>
      <c r="ZS621" s="277" t="s">
        <v>470</v>
      </c>
      <c r="ZU621" s="204"/>
      <c r="ZV621" s="204">
        <f>VLOOKUP(ZS621,$A$681:$F$2272,6,FALSE)</f>
        <v>108</v>
      </c>
      <c r="ZW621" s="203" t="s">
        <v>69</v>
      </c>
      <c r="ZX621" s="10">
        <f>ZV621*1.1</f>
        <v>118.80000000000001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VLOOKUP(AAB621,$A$681:$F$2272,6,FALSE)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2058</v>
      </c>
      <c r="AAM621" s="204"/>
      <c r="AAN621" s="204">
        <f>VLOOKUP(AAK621,$A$681:$F$2272,6,FALSE)</f>
        <v>126</v>
      </c>
      <c r="AAO621" s="203" t="s">
        <v>69</v>
      </c>
      <c r="AAP621" s="10">
        <f>AAN621*1.1</f>
        <v>138.60000000000002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VLOOKUP(AAT621,$A$681:$F$2272,6,FALSE)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VLOOKUP(ABC621,$A$681:$F$2272,6,FALSE)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VLOOKUP(ABL621,$A$681:$F$2272,6,FALSE)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VLOOKUP(ABU621,$A$681:$F$2272,6,FALSE)</f>
        <v>48</v>
      </c>
      <c r="ABY621" s="203" t="s">
        <v>69</v>
      </c>
      <c r="ABZ621" s="10">
        <f>ABX621*1.1</f>
        <v>52.800000000000004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VLOOKUP(ACD621,$A$681:$F$2272,6,FALSE)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VLOOKUP(ACM621,$A$681:$F$2272,6,FALSE)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VLOOKUP(ACV621,$A$681:$F$2272,6,FALSE)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VLOOKUP(ADE621,$A$681:$F$2272,6,FALSE)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VLOOKUP(ADN621,$A$681:$F$2272,6,FALSE)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VLOOKUP(ADW621,$A$681:$F$2272,6,FALSE)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VLOOKUP(AEF621,$A$681:$F$2272,6,FALSE)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VLOOKUP(AEO621,$A$681:$F$2272,6,FALSE)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VLOOKUP(AEX621,$A$681:$F$2272,6,FALSE)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VLOOKUP(AFG621,$A$681:$F$2272,6,FALSE)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VLOOKUP(AFP621,$A$681:$F$2272,6,FALSE)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VLOOKUP(AFY621,$A$681:$F$2272,6,FALSE)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VLOOKUP(AGH621,$A$681:$F$2272,6,FALSE)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VLOOKUP(AGQ621,$A$681:$F$2272,6,FALSE)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VLOOKUP(AGZ621,$A$681:$F$2272,6,FALSE)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VLOOKUP(AHI621,$A$681:$F$2272,6,FALSE)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VLOOKUP(AHR621,$A$681:$F$2272,6,FALSE)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VLOOKUP(AIA621,$A$681:$F$2272,6,FALSE)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VLOOKUP(AIJ621,$A$681:$F$2272,6,FALSE)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VLOOKUP(AIS621,$A$681:$F$2272,6,FALSE)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VLOOKUP(AJB621,$A$681:$F$2272,6,FALSE)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VLOOKUP(AJK621,$A$681:$F$2272,6,FALSE)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VLOOKUP(AJT621,$A$681:$F$2272,6,FALSE)</f>
        <v>73</v>
      </c>
      <c r="AJX621" s="203" t="s">
        <v>69</v>
      </c>
      <c r="AJY621" s="10">
        <f>AJW621*1.1</f>
        <v>80.300000000000011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VLOOKUP(AKC621,$A$681:$F$2272,6,FALSE)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VLOOKUP(AKL621,$A$681:$F$2272,6,FALSE)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VLOOKUP(AKU621,$A$681:$F$2272,6,FALSE)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VLOOKUP(ALD621,$A$681:$F$2272,6,FALSE)</f>
        <v>234</v>
      </c>
      <c r="ALH621" s="203" t="s">
        <v>69</v>
      </c>
      <c r="ALI621" s="10">
        <f>ALG621*1.1</f>
        <v>257.40000000000003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VLOOKUP(ALM621,$A$681:$F$2272,6,FALSE)</f>
        <v>48</v>
      </c>
      <c r="ALQ621" s="203" t="s">
        <v>69</v>
      </c>
      <c r="ALR621" s="10">
        <f>ALP621*1.1</f>
        <v>52.800000000000004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VLOOKUP(ALV621,$A$681:$F$2272,6,FALSE)</f>
        <v>108</v>
      </c>
      <c r="ALZ621" s="203" t="s">
        <v>69</v>
      </c>
      <c r="AMA621" s="10">
        <f>ALY621*1.1</f>
        <v>118.80000000000001</v>
      </c>
      <c r="AMB621" s="10"/>
      <c r="AMC621" s="274"/>
      <c r="AMD621" s="203" t="s">
        <v>84</v>
      </c>
      <c r="AME621" s="277" t="s">
        <v>2058</v>
      </c>
      <c r="AMG621" s="204"/>
      <c r="AMH621" s="204">
        <f>VLOOKUP(AME621,$A$681:$F$2272,6,FALSE)</f>
        <v>126</v>
      </c>
      <c r="AMI621" s="203" t="s">
        <v>69</v>
      </c>
      <c r="AMJ621" s="10">
        <f>AMH621*1.1</f>
        <v>138.60000000000002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VLOOKUP(AMN621,$A$681:$F$2272,6,FALSE)</f>
        <v>167</v>
      </c>
      <c r="AMR621" s="203" t="s">
        <v>69</v>
      </c>
      <c r="AMS621" s="10">
        <f>AMQ621*1.1</f>
        <v>183.70000000000002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VLOOKUP(AMW621,$A$681:$F$2272,6,FALSE)</f>
        <v>167</v>
      </c>
      <c r="ANA621" s="203" t="s">
        <v>69</v>
      </c>
      <c r="ANB621" s="10">
        <f>AMZ621*1.1</f>
        <v>183.70000000000002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VLOOKUP(ANF621,$A$681:$F$2272,6,FALSE)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VLOOKUP(ANO621,$A$681:$F$2272,6,FALSE)</f>
        <v>46</v>
      </c>
      <c r="ANS621" s="203" t="s">
        <v>69</v>
      </c>
      <c r="ANT621" s="10">
        <f>ANR621*1.1</f>
        <v>50.6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VLOOKUP(ANX621,$A$681:$F$2272,6,FALSE)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VLOOKUP(AOG621,$A$681:$F$2272,6,FALSE)</f>
        <v>167</v>
      </c>
      <c r="AOK621" s="203" t="s">
        <v>69</v>
      </c>
      <c r="AOL621" s="10">
        <f>AOJ621*1.1</f>
        <v>183.70000000000002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VLOOKUP(AOP621,$A$681:$F$2272,6,FALSE)</f>
        <v>48</v>
      </c>
      <c r="AOT621" s="203" t="s">
        <v>69</v>
      </c>
      <c r="AOU621" s="10">
        <f>AOS621*1.1</f>
        <v>52.800000000000004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VLOOKUP(AOY621,$A$681:$F$2272,6,FALSE)</f>
        <v>240</v>
      </c>
      <c r="APC621" s="203" t="s">
        <v>69</v>
      </c>
      <c r="APD621" s="10">
        <f>APB621*1.1</f>
        <v>264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VLOOKUP(APH621,$A$681:$F$2272,6,FALSE)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VLOOKUP(APQ621,$A$681:$F$2272,6,FALSE)</f>
        <v>73</v>
      </c>
      <c r="APU621" s="203" t="s">
        <v>69</v>
      </c>
      <c r="APV621" s="10">
        <f>APT621*1.1</f>
        <v>80.300000000000011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VLOOKUP(APZ621,$A$681:$F$2272,6,FALSE)</f>
        <v>234</v>
      </c>
      <c r="AQD621" s="203" t="s">
        <v>69</v>
      </c>
      <c r="AQE621" s="10">
        <f>AQC621*1.1</f>
        <v>257.40000000000003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1100.5999999999999</v>
      </c>
      <c r="I622" s="268"/>
      <c r="J622" s="203"/>
      <c r="K622" s="415"/>
      <c r="M622" s="203"/>
      <c r="N622" s="203"/>
      <c r="O622" s="203"/>
      <c r="P622" s="10"/>
      <c r="Q622" s="10">
        <f>SUM(P617:P621)</f>
        <v>931.80000000000007</v>
      </c>
      <c r="R622" s="268"/>
      <c r="S622" s="203"/>
      <c r="T622" s="265"/>
      <c r="V622" s="203"/>
      <c r="W622" s="203"/>
      <c r="X622" s="203"/>
      <c r="Y622" s="10"/>
      <c r="Z622" s="10">
        <f>SUM(Y617:Y621)</f>
        <v>1153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745.2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1001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752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833.69999999999993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786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549.20000000000005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1023.3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954.40000000000009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998.7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751.1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944.7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718.5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1079.3999999999999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889.9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875.40000000000009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917.50000000000011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726.2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982.00000000000011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778.80000000000018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789.09999999999991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980.5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948.7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800.69999999999993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923.3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800.7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662.59999999999991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666.2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771.1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631.6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918.4</v>
      </c>
      <c r="LC622" s="268"/>
      <c r="LD622" s="203"/>
      <c r="LG622" s="203"/>
      <c r="LH622" s="203"/>
      <c r="LI622" s="203"/>
      <c r="LJ622" s="10"/>
      <c r="LK622" s="10">
        <f>SUM(LJ617:LJ621)</f>
        <v>509.40000000000009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1251.1999999999998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1077.0999999999999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974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858.09999999999991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670.8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749.4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933.00000000000011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438.2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968.7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506.09999999999997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800.69999999999993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821.7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720.2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856.90000000000009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634.20000000000005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726.40000000000009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985.6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997.7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802.4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911.09999999999991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938.80000000000007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560.6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695.59999999999991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643.29999999999995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359.09999999999997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773.5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560.20000000000005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334.9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575.20000000000005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731.90000000000009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753.50000000000011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708.40000000000009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762.5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977.2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822.30000000000007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753.30000000000007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517.1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476.2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765.8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407.6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710.5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1005.4000000000001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619.6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578.4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696.7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873.1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810.2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834.2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987.40000000000009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1009.6999999999998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598.69999999999993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981.69999999999982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763.39999999999986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610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951.3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934.6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869.2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848.6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549.9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693.30000000000007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901.7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865.09999999999991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877.9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1056.0999999999999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851.09999999999991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789.40000000000009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2023</v>
      </c>
      <c r="D623" s="284">
        <f>IF(C623="Kopman",1.5,1)</f>
        <v>1.5</v>
      </c>
      <c r="E623" s="204">
        <f>VLOOKUP(B623,$A$681:$F$2272,6,FALSE)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2023</v>
      </c>
      <c r="M623" s="284">
        <f>IF(L623="Kopman",1.5,1)</f>
        <v>1.5</v>
      </c>
      <c r="N623" s="204">
        <f>VLOOKUP(K623,$A$681:$F$2272,6,FALSE)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VLOOKUP(T623,$A$681:$F$2272,6,FALSE)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2023</v>
      </c>
      <c r="AE623" s="284">
        <f>IF(AD623="Kopman",1.5,1)</f>
        <v>1.5</v>
      </c>
      <c r="AF623" s="204">
        <f>VLOOKUP(AC623,$A$681:$F$2272,6,FALSE)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VLOOKUP(AL623,$A$681:$F$2272,6,FALSE)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VLOOKUP(AU623,$A$681:$F$2272,6,FALSE)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VLOOKUP(BD623,$A$681:$F$2272,6,FALSE)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VLOOKUP(BM623,$A$681:$F$2272,6,FALSE)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2023</v>
      </c>
      <c r="BX623" s="284">
        <f>IF(BW623="Kopman",1.5,1)</f>
        <v>1.5</v>
      </c>
      <c r="BY623" s="204">
        <f>VLOOKUP(BV623,$A$681:$F$2272,6,FALSE)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VLOOKUP(CE623,$A$681:$F$2272,6,FALSE)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VLOOKUP(CN623,$A$681:$F$2272,6,FALSE)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VLOOKUP(CW623,$A$681:$F$2272,6,FALSE)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2023</v>
      </c>
      <c r="DH623" s="284">
        <f>IF(DG623="Kopman",1.5,1)</f>
        <v>1.5</v>
      </c>
      <c r="DI623" s="204">
        <f>VLOOKUP(DF623,$A$681:$F$2272,6,FALSE)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VLOOKUP(DO623,$A$681:$F$2272,6,FALSE)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VLOOKUP(DX623,$A$681:$F$2272,6,FALSE)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2023</v>
      </c>
      <c r="EI623" s="284">
        <f>IF(EH623="Kopman",1.5,1)</f>
        <v>1.5</v>
      </c>
      <c r="EJ623" s="204">
        <f>VLOOKUP(EG623,$A$681:$F$2272,6,FALSE)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VLOOKUP(EP623,$A$681:$F$2272,6,FALSE)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2023</v>
      </c>
      <c r="FA623" s="284">
        <f>IF(EZ623="Kopman",1.5,1)</f>
        <v>1.5</v>
      </c>
      <c r="FB623" s="204">
        <f>VLOOKUP(EY623,$A$681:$F$2272,6,FALSE)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2023</v>
      </c>
      <c r="FJ623" s="284">
        <f>IF(FI623="Kopman",1.5,1)</f>
        <v>1.5</v>
      </c>
      <c r="FK623" s="204">
        <f>VLOOKUP(FH623,$A$681:$F$2272,6,FALSE)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VLOOKUP(FQ623,$A$681:$F$2272,6,FALSE)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2023</v>
      </c>
      <c r="GB623" s="284">
        <f>IF(GA623="Kopman",1.5,1)</f>
        <v>1.5</v>
      </c>
      <c r="GC623" s="204">
        <f>VLOOKUP(FZ623,$A$681:$F$2272,6,FALSE)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2023</v>
      </c>
      <c r="GK623" s="284">
        <f>IF(GJ623="Kopman",1.5,1)</f>
        <v>1.5</v>
      </c>
      <c r="GL623" s="204">
        <f>VLOOKUP(GI623,$A$681:$F$2272,6,FALSE)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2023</v>
      </c>
      <c r="GT623" s="284">
        <f>IF(GS623="Kopman",1.5,1)</f>
        <v>1.5</v>
      </c>
      <c r="GU623" s="204">
        <f>VLOOKUP(GR623,$A$681:$F$2272,6,FALSE)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VLOOKUP(HA623,$A$681:$F$2272,6,FALSE)</f>
        <v>42</v>
      </c>
      <c r="HE623" s="203" t="s">
        <v>61</v>
      </c>
      <c r="HF623" s="10">
        <f>HD623*1.5*HC623</f>
        <v>63</v>
      </c>
      <c r="HG623" s="10"/>
      <c r="HH623" s="268"/>
      <c r="HI623" s="203" t="s">
        <v>85</v>
      </c>
      <c r="HJ623" s="417" t="s">
        <v>417</v>
      </c>
      <c r="HK623" s="416" t="s">
        <v>2023</v>
      </c>
      <c r="HL623" s="284">
        <f>IF(HK623="Kopman",1.5,1)</f>
        <v>1.5</v>
      </c>
      <c r="HM623" s="204">
        <f>VLOOKUP(HJ623,$A$681:$F$2272,6,FALSE)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VLOOKUP(HS623,$A$681:$F$2272,6,FALSE)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VLOOKUP(IB623,$A$681:$F$2272,6,FALSE)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2023</v>
      </c>
      <c r="IM623" s="284">
        <f>IF(IL623="Kopman",1.5,1)</f>
        <v>1.5</v>
      </c>
      <c r="IN623" s="204">
        <f>VLOOKUP(IK623,$A$681:$F$2272,6,FALSE)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VLOOKUP(IT623,$A$681:$F$2272,6,FALSE)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2023</v>
      </c>
      <c r="JE623" s="284">
        <f>IF(JD623="Kopman",1.5,1)</f>
        <v>1.5</v>
      </c>
      <c r="JF623" s="204">
        <f>VLOOKUP(JC623,$A$681:$F$2272,6,FALSE)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2023</v>
      </c>
      <c r="JN623" s="284">
        <f>IF(JM623="Kopman",1.5,1)</f>
        <v>1.5</v>
      </c>
      <c r="JO623" s="204">
        <f>VLOOKUP(JL623,$A$681:$F$2272,6,FALSE)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VLOOKUP(JU623,$A$681:$F$2272,6,FALSE)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VLOOKUP(KD623,$A$681:$F$2272,6,FALSE)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2023</v>
      </c>
      <c r="KO623" s="284">
        <f>IF(KN623="Kopman",1.5,1)</f>
        <v>1.5</v>
      </c>
      <c r="KP623" s="204">
        <f>VLOOKUP(KM623,$A$681:$F$2272,6,FALSE)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VLOOKUP(KV623,$A$681:$F$2272,6,FALSE)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2023</v>
      </c>
      <c r="LG623" s="284">
        <f>IF(LF623="Kopman",1.5,1)</f>
        <v>1.5</v>
      </c>
      <c r="LH623" s="204">
        <f>VLOOKUP(LE623,$A$681:$F$2272,6,FALSE)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2023</v>
      </c>
      <c r="LP623" s="284">
        <f>IF(LO623="Kopman",1.5,1)</f>
        <v>1.5</v>
      </c>
      <c r="LQ623" s="204">
        <f>VLOOKUP(LN623,$A$681:$F$2272,6,FALSE)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VLOOKUP(LW623,$A$681:$F$2272,6,FALSE)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VLOOKUP(MF623,$A$681:$F$2272,6,FALSE)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VLOOKUP(MO623,$A$681:$F$2272,6,FALSE)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VLOOKUP(MX623,$A$681:$F$2272,6,FALSE)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2023</v>
      </c>
      <c r="NI623" s="284">
        <f>IF(NH623="Kopman",1.5,1)</f>
        <v>1.5</v>
      </c>
      <c r="NJ623" s="204">
        <f>VLOOKUP(NG623,$A$681:$F$2272,6,FALSE)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2023</v>
      </c>
      <c r="NR623" s="284">
        <f>IF(NQ623="Kopman",1.5,1)</f>
        <v>1.5</v>
      </c>
      <c r="NS623" s="204">
        <f>VLOOKUP(NP623,$A$681:$F$2272,6,FALSE)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VLOOKUP(NY623,$A$681:$F$2272,6,FALSE)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VLOOKUP(OH623,$A$681:$F$2272,6,FALSE)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VLOOKUP(OQ623,$A$681:$F$2272,6,FALSE)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2023</v>
      </c>
      <c r="PB623" s="284">
        <f>IF(PA623="Kopman",1.5,1)</f>
        <v>1.5</v>
      </c>
      <c r="PC623" s="204">
        <f>VLOOKUP(OZ623,$A$681:$F$2272,6,FALSE)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VLOOKUP(PI623,$A$681:$F$2272,6,FALSE)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VLOOKUP(PR623,$A$681:$F$2272,6,FALSE)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VLOOKUP(QA623,$A$681:$F$2272,6,FALSE)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VLOOKUP(QJ623,$A$681:$F$2272,6,FALSE)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2023</v>
      </c>
      <c r="QU623" s="284">
        <f>IF(QT623="Kopman",1.5,1)</f>
        <v>1.5</v>
      </c>
      <c r="QV623" s="204">
        <f>VLOOKUP(QS623,$A$681:$F$2272,6,FALSE)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VLOOKUP(RB623,$A$681:$F$2272,6,FALSE)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VLOOKUP(RK623,$A$681:$F$2272,6,FALSE)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VLOOKUP(RT623,$A$681:$F$2272,6,FALSE)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2023</v>
      </c>
      <c r="SE623" s="284">
        <f>IF(SD623="Kopman",1.5,1)</f>
        <v>1.5</v>
      </c>
      <c r="SF623" s="204">
        <f>VLOOKUP(SC623,$A$681:$F$2272,6,FALSE)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VLOOKUP(SL623,$A$681:$F$2272,6,FALSE)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VLOOKUP(SU623,$A$681:$F$2272,6,FALSE)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VLOOKUP(TD623,$A$681:$F$2272,6,FALSE)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VLOOKUP(TM623,$A$681:$F$2272,6,FALSE)</f>
        <v>42</v>
      </c>
      <c r="TQ623" s="203" t="s">
        <v>61</v>
      </c>
      <c r="TR623" s="10">
        <f>TP623*1.5*TO623</f>
        <v>63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VLOOKUP(TV623,$A$681:$F$2272,6,FALSE)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VLOOKUP(UE623,$A$681:$F$2272,6,FALSE)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VLOOKUP(UN623,$A$681:$F$2272,6,FALSE)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VLOOKUP(UW623,$A$681:$F$2272,6,FALSE)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VLOOKUP(VF623,$A$681:$F$2272,6,FALSE)</f>
        <v>275</v>
      </c>
      <c r="VJ623" s="203" t="s">
        <v>61</v>
      </c>
      <c r="VK623" s="10">
        <f>VI623*1.5*VH623</f>
        <v>412.5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VLOOKUP(VO623,$A$681:$F$2272,6,FALSE)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VLOOKUP(VX623,$A$681:$F$2272,6,FALSE)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VLOOKUP(WG623,$A$681:$F$2272,6,FALSE)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VLOOKUP(WP623,$A$681:$F$2272,6,FALSE)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VLOOKUP(WY623,$A$681:$F$2272,6,FALSE)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2023</v>
      </c>
      <c r="XJ623" s="284">
        <f>IF(XI623="Kopman",1.5,1)</f>
        <v>1.5</v>
      </c>
      <c r="XK623" s="204">
        <f>VLOOKUP(XH623,$A$681:$F$2272,6,FALSE)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VLOOKUP(XQ623,$A$681:$F$2272,6,FALSE)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2023</v>
      </c>
      <c r="YB623" s="284">
        <f>IF(YA623="Kopman",1.5,1)</f>
        <v>1.5</v>
      </c>
      <c r="YC623" s="204">
        <f>VLOOKUP(XZ623,$A$681:$F$2272,6,FALSE)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VLOOKUP(YI623,$A$681:$F$2272,6,FALSE)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VLOOKUP(YR623,$A$681:$F$2272,6,FALSE)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VLOOKUP(ZA623,$A$681:$F$2272,6,FALSE)</f>
        <v>122</v>
      </c>
      <c r="ZE623" s="203" t="s">
        <v>61</v>
      </c>
      <c r="ZF623" s="10">
        <f>ZD623*1.5</f>
        <v>183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VLOOKUP(ZJ623,$A$681:$F$2272,6,FALSE)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VLOOKUP(ZS623,$A$681:$F$2272,6,FALSE)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VLOOKUP(AAB623,$A$681:$F$2272,6,FALSE)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VLOOKUP(AAK623,$A$681:$F$2272,6,FALSE)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VLOOKUP(AAT623,$A$681:$F$2272,6,FALSE)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VLOOKUP(ABC623,$A$681:$F$2272,6,FALSE)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VLOOKUP(ABL623,$A$681:$F$2272,6,FALSE)</f>
        <v>38</v>
      </c>
      <c r="ABP623" s="203" t="s">
        <v>61</v>
      </c>
      <c r="ABQ623" s="10">
        <f>ABO623*1.5*ABN623</f>
        <v>57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VLOOKUP(ABU623,$A$681:$F$2272,6,FALSE)</f>
        <v>275</v>
      </c>
      <c r="ABY623" s="203" t="s">
        <v>61</v>
      </c>
      <c r="ABZ623" s="10">
        <f>ABX623*1.5*ABW623</f>
        <v>412.5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VLOOKUP(ACD623,$A$681:$F$2272,6,FALSE)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VLOOKUP(ACM623,$A$681:$F$2272,6,FALSE)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VLOOKUP(ACV623,$A$681:$F$2272,6,FALSE)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VLOOKUP(ADE623,$A$681:$F$2272,6,FALSE)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VLOOKUP(ADN623,$A$681:$F$2272,6,FALSE)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VLOOKUP(ADW623,$A$681:$F$2272,6,FALSE)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VLOOKUP(AEF623,$A$681:$F$2272,6,FALSE)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VLOOKUP(AEO623,$A$681:$F$2272,6,FALSE)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VLOOKUP(AEX623,$A$681:$F$2272,6,FALSE)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VLOOKUP(AFG623,$A$681:$F$2272,6,FALSE)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VLOOKUP(AFP623,$A$681:$F$2272,6,FALSE)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VLOOKUP(AFY623,$A$681:$F$2272,6,FALSE)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VLOOKUP(AGH623,$A$681:$F$2272,6,FALSE)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VLOOKUP(AGQ623,$A$681:$F$2272,6,FALSE)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VLOOKUP(AGZ623,$A$681:$F$2272,6,FALSE)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VLOOKUP(AHI623,$A$681:$F$2272,6,FALSE)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2084</v>
      </c>
      <c r="AHT623" s="284">
        <f>IF(AHS623="Kopman",1.5,1)</f>
        <v>1</v>
      </c>
      <c r="AHU623" s="204">
        <f>VLOOKUP(AHR623,$A$681:$F$2272,6,FALSE)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VLOOKUP(AIA623,$A$681:$F$2272,6,FALSE)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VLOOKUP(AIJ623,$A$681:$F$2272,6,FALSE)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VLOOKUP(AIS623,$A$681:$F$2272,6,FALSE)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VLOOKUP(AJB623,$A$681:$F$2272,6,FALSE)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VLOOKUP(AJK623,$A$681:$F$2272,6,FALSE)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VLOOKUP(AJT623,$A$681:$F$2272,6,FALSE)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2023</v>
      </c>
      <c r="AKE623" s="284">
        <f>IF(AKD623="Kopman",1.5,1)</f>
        <v>1.5</v>
      </c>
      <c r="AKF623" s="204">
        <f>VLOOKUP(AKC623,$A$681:$F$2272,6,FALSE)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VLOOKUP(AKL623,$A$681:$F$2272,6,FALSE)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VLOOKUP(AKU623,$A$681:$F$2272,6,FALSE)</f>
        <v>275</v>
      </c>
      <c r="AKY623" s="203" t="s">
        <v>61</v>
      </c>
      <c r="AKZ623" s="10">
        <f>AKX623*1.5*AKW623</f>
        <v>412.5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VLOOKUP(ALD623,$A$681:$F$2272,6,FALSE)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2023</v>
      </c>
      <c r="ALO623" s="284">
        <f>IF(ALN623="Kopman",1.5,1)</f>
        <v>1.5</v>
      </c>
      <c r="ALP623" s="204">
        <f>VLOOKUP(ALM623,$A$681:$F$2272,6,FALSE)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VLOOKUP(ALV623,$A$681:$F$2272,6,FALSE)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VLOOKUP(AME623,$A$681:$F$2272,6,FALSE)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VLOOKUP(AMN623,$A$681:$F$2272,6,FALSE)</f>
        <v>42</v>
      </c>
      <c r="AMR623" s="203" t="s">
        <v>61</v>
      </c>
      <c r="AMS623" s="10">
        <f>AMQ623*1.5*AMP623</f>
        <v>63</v>
      </c>
      <c r="AMT623" s="10"/>
      <c r="AMU623" s="274"/>
      <c r="AMV623" s="203" t="s">
        <v>85</v>
      </c>
      <c r="AMW623" s="417" t="s">
        <v>417</v>
      </c>
      <c r="AMX623" s="416" t="s">
        <v>2023</v>
      </c>
      <c r="AMY623" s="284">
        <f>IF(AMX623="Kopman",1.5,1)</f>
        <v>1.5</v>
      </c>
      <c r="AMZ623" s="204">
        <f>VLOOKUP(AMW623,$A$681:$F$2272,6,FALSE)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VLOOKUP(ANF623,$A$681:$F$2272,6,FALSE)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VLOOKUP(ANO623,$A$681:$F$2272,6,FALSE)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VLOOKUP(ANX623,$A$681:$F$2272,6,FALSE)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VLOOKUP(AOG623,$A$681:$F$2272,6,FALSE)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2023</v>
      </c>
      <c r="AOR623" s="284">
        <f>IF(AOQ623="Kopman",1.5,1)</f>
        <v>1.5</v>
      </c>
      <c r="AOS623" s="204">
        <f>VLOOKUP(AOP623,$A$681:$F$2272,6,FALSE)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VLOOKUP(AOY623,$A$681:$F$2272,6,FALSE)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VLOOKUP(APH623,$A$681:$F$2272,6,FALSE)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VLOOKUP(APQ623,$A$681:$F$2272,6,FALSE)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VLOOKUP(APZ623,$A$681:$F$2272,6,FALSE)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VLOOKUP(B624,$A$681:$F$2272,6,FALSE)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2084</v>
      </c>
      <c r="M624" s="204"/>
      <c r="N624" s="204">
        <f>VLOOKUP(K624,$A$681:$F$2272,6,FALSE)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VLOOKUP(T624,$A$681:$F$2272,6,FALSE)</f>
        <v>85</v>
      </c>
      <c r="X624" s="203" t="s">
        <v>63</v>
      </c>
      <c r="Y624" s="10">
        <f>W624*1.4</f>
        <v>118.99999999999999</v>
      </c>
      <c r="Z624" s="10"/>
      <c r="AA624" s="268"/>
      <c r="AB624" s="203" t="s">
        <v>86</v>
      </c>
      <c r="AC624" s="277" t="s">
        <v>2084</v>
      </c>
      <c r="AE624" s="204"/>
      <c r="AF624" s="204">
        <f>VLOOKUP(AC624,$A$681:$F$2272,6,FALSE)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VLOOKUP(AL624,$A$681:$F$2272,6,FALSE)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2067</v>
      </c>
      <c r="AW624" s="204"/>
      <c r="AX624" s="204">
        <f>VLOOKUP(AU624,$A$681:$F$2272,6,FALSE)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VLOOKUP(BD624,$A$681:$F$2272,6,FALSE)</f>
        <v>85</v>
      </c>
      <c r="BH624" s="203" t="s">
        <v>63</v>
      </c>
      <c r="BI624" s="10">
        <f>BG624*1.4</f>
        <v>118.99999999999999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VLOOKUP(BM624,$A$681:$F$2272,6,FALSE)</f>
        <v>40</v>
      </c>
      <c r="BQ624" s="203" t="s">
        <v>63</v>
      </c>
      <c r="BR624" s="10">
        <f>BP624*1.4</f>
        <v>56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VLOOKUP(BV624,$A$681:$F$2272,6,FALSE)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2084</v>
      </c>
      <c r="CG624" s="204"/>
      <c r="CH624" s="204">
        <f>VLOOKUP(CE624,$A$681:$F$2272,6,FALSE)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VLOOKUP(CN624,$A$681:$F$2272,6,FALSE)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VLOOKUP(CW624,$A$681:$F$2272,6,FALSE)</f>
        <v>122</v>
      </c>
      <c r="DA624" s="203" t="s">
        <v>63</v>
      </c>
      <c r="DB624" s="10">
        <f>CZ624*1.4</f>
        <v>170.79999999999998</v>
      </c>
      <c r="DC624" s="10"/>
      <c r="DD624" s="268"/>
      <c r="DE624" s="203" t="s">
        <v>86</v>
      </c>
      <c r="DF624" s="277" t="s">
        <v>2084</v>
      </c>
      <c r="DH624" s="204"/>
      <c r="DI624" s="204">
        <f>VLOOKUP(DF624,$A$681:$F$2272,6,FALSE)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VLOOKUP(DO624,$A$681:$F$2272,6,FALSE)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VLOOKUP(DX624,$A$681:$F$2272,6,FALSE)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VLOOKUP(EG624,$A$681:$F$2272,6,FALSE)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VLOOKUP(EP624,$A$681:$F$2272,6,FALSE)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2084</v>
      </c>
      <c r="FA624" s="204"/>
      <c r="FB624" s="204">
        <f>VLOOKUP(EY624,$A$681:$F$2272,6,FALSE)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VLOOKUP(FH624,$A$681:$F$2272,6,FALSE)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VLOOKUP(FQ624,$A$681:$F$2272,6,FALSE)</f>
        <v>122</v>
      </c>
      <c r="FU624" s="203" t="s">
        <v>63</v>
      </c>
      <c r="FV624" s="10">
        <f>FT624*1.4</f>
        <v>170.79999999999998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VLOOKUP(FZ624,$A$681:$F$2272,6,FALSE)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VLOOKUP(GI624,$A$681:$F$2272,6,FALSE)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VLOOKUP(GR624,$A$681:$F$2272,6,FALSE)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2084</v>
      </c>
      <c r="HC624" s="204"/>
      <c r="HD624" s="204">
        <f>VLOOKUP(HA624,$A$681:$F$2272,6,FALSE)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VLOOKUP(HJ624,$A$681:$F$2272,6,FALSE)</f>
        <v>42</v>
      </c>
      <c r="HN624" s="203" t="s">
        <v>63</v>
      </c>
      <c r="HO624" s="10">
        <f>HM624*1.4</f>
        <v>58.8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VLOOKUP(HS624,$A$681:$F$2272,6,FALSE)</f>
        <v>42</v>
      </c>
      <c r="HW624" s="203" t="s">
        <v>63</v>
      </c>
      <c r="HX624" s="10">
        <f>HV624*1.4</f>
        <v>58.8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VLOOKUP(IB624,$A$681:$F$2272,6,FALSE)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VLOOKUP(IK624,$A$681:$F$2272,6,FALSE)</f>
        <v>85</v>
      </c>
      <c r="IO624" s="203" t="s">
        <v>63</v>
      </c>
      <c r="IP624" s="10">
        <f>IN624*1.4</f>
        <v>118.99999999999999</v>
      </c>
      <c r="IQ624" s="10"/>
      <c r="IR624" s="268"/>
      <c r="IS624" s="203" t="s">
        <v>86</v>
      </c>
      <c r="IT624" s="277" t="s">
        <v>2084</v>
      </c>
      <c r="IV624" s="204"/>
      <c r="IW624" s="204">
        <f>VLOOKUP(IT624,$A$681:$F$2272,6,FALSE)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VLOOKUP(JC624,$A$681:$F$2272,6,FALSE)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VLOOKUP(JL624,$A$681:$F$2272,6,FALSE)</f>
        <v>38</v>
      </c>
      <c r="JP624" s="203" t="s">
        <v>63</v>
      </c>
      <c r="JQ624" s="10">
        <f>JO624*1.4</f>
        <v>53.199999999999996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VLOOKUP(JU624,$A$681:$F$2272,6,FALSE)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VLOOKUP(KD624,$A$681:$F$2272,6,FALSE)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VLOOKUP(KM624,$A$681:$F$2272,6,FALSE)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VLOOKUP(KV624,$A$681:$F$2272,6,FALSE)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VLOOKUP(LE624,$A$681:$F$2272,6,FALSE)</f>
        <v>122</v>
      </c>
      <c r="LI624" s="203" t="s">
        <v>63</v>
      </c>
      <c r="LJ624" s="10">
        <f>LH624*1.4</f>
        <v>170.79999999999998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VLOOKUP(LN624,$A$681:$F$2272,6,FALSE)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VLOOKUP(LW624,$A$681:$F$2272,6,FALSE)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VLOOKUP(MF624,$A$681:$F$2272,6,FALSE)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VLOOKUP(MO624,$A$681:$F$2272,6,FALSE)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VLOOKUP(MX624,$A$681:$F$2272,6,FALSE)</f>
        <v>85</v>
      </c>
      <c r="NB624" s="203" t="s">
        <v>63</v>
      </c>
      <c r="NC624" s="10">
        <f>NA624*1.4</f>
        <v>118.99999999999999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VLOOKUP(NG624,$A$681:$F$2272,6,FALSE)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VLOOKUP(NP624,$A$681:$F$2272,6,FALSE)</f>
        <v>85</v>
      </c>
      <c r="NT624" s="203" t="s">
        <v>63</v>
      </c>
      <c r="NU624" s="10">
        <f>NS624*1.4</f>
        <v>118.99999999999999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VLOOKUP(NY624,$A$681:$F$2272,6,FALSE)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VLOOKUP(OH624,$A$681:$F$2272,6,FALSE)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VLOOKUP(OQ624,$A$681:$F$2272,6,FALSE)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VLOOKUP(OZ624,$A$681:$F$2272,6,FALSE)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VLOOKUP(PI624,$A$681:$F$2272,6,FALSE)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VLOOKUP(PR624,$A$681:$F$2272,6,FALSE)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VLOOKUP(QA624,$A$681:$F$2272,6,FALSE)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VLOOKUP(QJ624,$A$681:$F$2272,6,FALSE)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VLOOKUP(QS624,$A$681:$F$2272,6,FALSE)</f>
        <v>85</v>
      </c>
      <c r="QW624" s="203" t="s">
        <v>63</v>
      </c>
      <c r="QX624" s="10">
        <f>QV624*1.4</f>
        <v>118.99999999999999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VLOOKUP(RB624,$A$681:$F$2272,6,FALSE)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VLOOKUP(RK624,$A$681:$F$2272,6,FALSE)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VLOOKUP(RT624,$A$681:$F$2272,6,FALSE)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VLOOKUP(SC624,$A$681:$F$2272,6,FALSE)</f>
        <v>85</v>
      </c>
      <c r="SG624" s="203" t="s">
        <v>63</v>
      </c>
      <c r="SH624" s="10">
        <f>SF624*1.4</f>
        <v>118.99999999999999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VLOOKUP(SL624,$A$681:$F$2272,6,FALSE)</f>
        <v>276</v>
      </c>
      <c r="SP624" s="203" t="s">
        <v>63</v>
      </c>
      <c r="SQ624" s="10">
        <f>SO624*1.4</f>
        <v>386.4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VLOOKUP(SU624,$A$681:$F$2272,6,FALSE)</f>
        <v>40</v>
      </c>
      <c r="SY624" s="203" t="s">
        <v>63</v>
      </c>
      <c r="SZ624" s="10">
        <f>SX624*1.4</f>
        <v>56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VLOOKUP(TD624,$A$681:$F$2272,6,FALSE)</f>
        <v>42</v>
      </c>
      <c r="TH624" s="203" t="s">
        <v>63</v>
      </c>
      <c r="TI624" s="10">
        <f>TG624*1.4</f>
        <v>58.8</v>
      </c>
      <c r="TK624" s="274"/>
      <c r="TL624" s="203" t="s">
        <v>86</v>
      </c>
      <c r="TM624" s="277" t="s">
        <v>419</v>
      </c>
      <c r="TO624" s="204"/>
      <c r="TP624" s="204">
        <f>VLOOKUP(TM624,$A$681:$F$2272,6,FALSE)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VLOOKUP(TV624,$A$681:$F$2272,6,FALSE)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VLOOKUP(UE624,$A$681:$F$2272,6,FALSE)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VLOOKUP(UN624,$A$681:$F$2272,6,FALSE)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VLOOKUP(UW624,$A$681:$F$2272,6,FALSE)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VLOOKUP(VF624,$A$681:$F$2272,6,FALSE)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VLOOKUP(VO624,$A$681:$F$2272,6,FALSE)</f>
        <v>38</v>
      </c>
      <c r="VS624" s="203" t="s">
        <v>63</v>
      </c>
      <c r="VT624" s="10">
        <f>VR624*1.4</f>
        <v>53.199999999999996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VLOOKUP(VX624,$A$681:$F$2272,6,FALSE)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VLOOKUP(WG624,$A$681:$F$2272,6,FALSE)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VLOOKUP(WP624,$A$681:$F$2272,6,FALSE)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VLOOKUP(WY624,$A$681:$F$2272,6,FALSE)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VLOOKUP(XH624,$A$681:$F$2272,6,FALSE)</f>
        <v>42</v>
      </c>
      <c r="XL624" s="203" t="s">
        <v>63</v>
      </c>
      <c r="XM624" s="10">
        <f>XK624*1.4</f>
        <v>58.8</v>
      </c>
      <c r="XO624" s="274"/>
      <c r="XP624" s="203" t="s">
        <v>86</v>
      </c>
      <c r="XQ624" s="277" t="s">
        <v>1269</v>
      </c>
      <c r="XS624" s="204"/>
      <c r="XT624" s="204">
        <f>VLOOKUP(XQ624,$A$681:$F$2272,6,FALSE)</f>
        <v>276</v>
      </c>
      <c r="XU624" s="203" t="s">
        <v>63</v>
      </c>
      <c r="XV624" s="10">
        <f>XT624*1.4</f>
        <v>386.4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VLOOKUP(XZ624,$A$681:$F$2272,6,FALSE)</f>
        <v>276</v>
      </c>
      <c r="YD624" s="203" t="s">
        <v>63</v>
      </c>
      <c r="YE624" s="10">
        <f>YC624*1.4</f>
        <v>386.4</v>
      </c>
      <c r="YG624" s="274"/>
      <c r="YH624" s="203" t="s">
        <v>86</v>
      </c>
      <c r="YI624" s="279" t="s">
        <v>183</v>
      </c>
      <c r="YK624" s="204"/>
      <c r="YL624" s="204" t="e">
        <f>VLOOKUP(YI624,$A$681:$F$2272,6,FALSE)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VLOOKUP(YR624,$A$681:$F$2272,6,FALSE)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VLOOKUP(ZA624,$A$681:$F$2272,6,FALSE)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VLOOKUP(ZJ624,$A$681:$F$2272,6,FALSE)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521</v>
      </c>
      <c r="ZU624" s="204"/>
      <c r="ZV624" s="204">
        <f>VLOOKUP(ZS624,$A$681:$F$2272,6,FALSE)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VLOOKUP(AAB624,$A$681:$F$2272,6,FALSE)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VLOOKUP(AAK624,$A$681:$F$2272,6,FALSE)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2084</v>
      </c>
      <c r="AAV624" s="204"/>
      <c r="AAW624" s="204">
        <f>VLOOKUP(AAT624,$A$681:$F$2272,6,FALSE)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VLOOKUP(ABC624,$A$681:$F$2272,6,FALSE)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VLOOKUP(ABL624,$A$681:$F$2272,6,FALSE)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VLOOKUP(ABU624,$A$681:$F$2272,6,FALSE)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VLOOKUP(ACD624,$A$681:$F$2272,6,FALSE)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VLOOKUP(ACM624,$A$681:$F$2272,6,FALSE)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VLOOKUP(ACV624,$A$681:$F$2272,6,FALSE)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VLOOKUP(ADE624,$A$681:$F$2272,6,FALSE)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VLOOKUP(ADN624,$A$681:$F$2272,6,FALSE)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VLOOKUP(ADW624,$A$681:$F$2272,6,FALSE)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VLOOKUP(AEF624,$A$681:$F$2272,6,FALSE)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VLOOKUP(AEO624,$A$681:$F$2272,6,FALSE)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VLOOKUP(AEX624,$A$681:$F$2272,6,FALSE)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VLOOKUP(AFG624,$A$681:$F$2272,6,FALSE)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VLOOKUP(AFP624,$A$681:$F$2272,6,FALSE)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VLOOKUP(AFY624,$A$681:$F$2272,6,FALSE)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VLOOKUP(AGH624,$A$681:$F$2272,6,FALSE)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VLOOKUP(AGQ624,$A$681:$F$2272,6,FALSE)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VLOOKUP(AGZ624,$A$681:$F$2272,6,FALSE)</f>
        <v>85</v>
      </c>
      <c r="AHD624" s="203" t="s">
        <v>63</v>
      </c>
      <c r="AHE624" s="10">
        <f>AHC624*1.4</f>
        <v>118.99999999999999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VLOOKUP(AHI624,$A$681:$F$2272,6,FALSE)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VLOOKUP(AHR624,$A$681:$F$2272,6,FALSE)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VLOOKUP(AIA624,$A$681:$F$2272,6,FALSE)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VLOOKUP(AIJ624,$A$681:$F$2272,6,FALSE)</f>
        <v>85</v>
      </c>
      <c r="AIN624" s="203" t="s">
        <v>63</v>
      </c>
      <c r="AIO624" s="10">
        <f>AIM624*1.4</f>
        <v>118.99999999999999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VLOOKUP(AIS624,$A$681:$F$2272,6,FALSE)</f>
        <v>34</v>
      </c>
      <c r="AIW624" s="203" t="s">
        <v>63</v>
      </c>
      <c r="AIX624" s="10">
        <f>AIV624*1.4</f>
        <v>47.599999999999994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VLOOKUP(AJB624,$A$681:$F$2272,6,FALSE)</f>
        <v>85</v>
      </c>
      <c r="AJF624" s="203" t="s">
        <v>63</v>
      </c>
      <c r="AJG624" s="10">
        <f>AJE624*1.4</f>
        <v>118.99999999999999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VLOOKUP(AJK624,$A$681:$F$2272,6,FALSE)</f>
        <v>85</v>
      </c>
      <c r="AJO624" s="203" t="s">
        <v>63</v>
      </c>
      <c r="AJP624" s="10">
        <f>AJN624*1.4</f>
        <v>118.99999999999999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VLOOKUP(AJT624,$A$681:$F$2272,6,FALSE)</f>
        <v>122</v>
      </c>
      <c r="AJX624" s="203" t="s">
        <v>63</v>
      </c>
      <c r="AJY624" s="10">
        <f>AJW624*1.4</f>
        <v>170.79999999999998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VLOOKUP(AKC624,$A$681:$F$2272,6,FALSE)</f>
        <v>85</v>
      </c>
      <c r="AKG624" s="203" t="s">
        <v>63</v>
      </c>
      <c r="AKH624" s="10">
        <f>AKF624*1.4</f>
        <v>118.99999999999999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VLOOKUP(AKL624,$A$681:$F$2272,6,FALSE)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VLOOKUP(AKU624,$A$681:$F$2272,6,FALSE)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VLOOKUP(ALD624,$A$681:$F$2272,6,FALSE)</f>
        <v>85</v>
      </c>
      <c r="ALH624" s="203" t="s">
        <v>63</v>
      </c>
      <c r="ALI624" s="10">
        <f>ALG624*1.4</f>
        <v>118.99999999999999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VLOOKUP(ALM624,$A$681:$F$2272,6,FALSE)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VLOOKUP(ALV624,$A$681:$F$2272,6,FALSE)</f>
        <v>85</v>
      </c>
      <c r="ALZ624" s="203" t="s">
        <v>63</v>
      </c>
      <c r="AMA624" s="10">
        <f>ALY624*1.4</f>
        <v>118.99999999999999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VLOOKUP(AME624,$A$681:$F$2272,6,FALSE)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VLOOKUP(AMN624,$A$681:$F$2272,6,FALSE)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VLOOKUP(AMW624,$A$681:$F$2272,6,FALSE)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VLOOKUP(ANF624,$A$681:$F$2272,6,FALSE)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VLOOKUP(ANO624,$A$681:$F$2272,6,FALSE)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VLOOKUP(ANX624,$A$681:$F$2272,6,FALSE)</f>
        <v>85</v>
      </c>
      <c r="AOB624" s="203" t="s">
        <v>63</v>
      </c>
      <c r="AOC624" s="10">
        <f>AOA624*1.4</f>
        <v>118.99999999999999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VLOOKUP(AOG624,$A$681:$F$2272,6,FALSE)</f>
        <v>275</v>
      </c>
      <c r="AOK624" s="203" t="s">
        <v>63</v>
      </c>
      <c r="AOL624" s="10">
        <f>AOJ624*1.4</f>
        <v>385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VLOOKUP(AOP624,$A$681:$F$2272,6,FALSE)</f>
        <v>275</v>
      </c>
      <c r="AOT624" s="203" t="s">
        <v>63</v>
      </c>
      <c r="AOU624" s="10">
        <f>AOS624*1.4</f>
        <v>385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VLOOKUP(AOY624,$A$681:$F$2272,6,FALSE)</f>
        <v>42</v>
      </c>
      <c r="APC624" s="203" t="s">
        <v>63</v>
      </c>
      <c r="APD624" s="10">
        <f>APB624*1.4</f>
        <v>58.8</v>
      </c>
      <c r="APE624" s="10"/>
      <c r="APF624" s="274"/>
      <c r="APG624" s="203" t="s">
        <v>86</v>
      </c>
      <c r="APH624" s="277" t="s">
        <v>2067</v>
      </c>
      <c r="APJ624" s="204"/>
      <c r="APK624" s="204">
        <f>VLOOKUP(APH624,$A$681:$F$2272,6,FALSE)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VLOOKUP(APQ624,$A$681:$F$2272,6,FALSE)</f>
        <v>42</v>
      </c>
      <c r="APU624" s="203" t="s">
        <v>63</v>
      </c>
      <c r="APV624" s="10">
        <f>APT624*1.4</f>
        <v>58.8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VLOOKUP(APZ624,$A$681:$F$2272,6,FALSE)</f>
        <v>42</v>
      </c>
      <c r="AQD624" s="203" t="s">
        <v>63</v>
      </c>
      <c r="AQE624" s="10">
        <f>AQC624*1.4</f>
        <v>58.8</v>
      </c>
      <c r="AQF624" s="10"/>
      <c r="AQG624" s="274"/>
    </row>
    <row r="625" spans="1:1125" s="14" customFormat="1" ht="15">
      <c r="A625" s="203" t="s">
        <v>87</v>
      </c>
      <c r="B625" s="277" t="s">
        <v>2067</v>
      </c>
      <c r="D625" s="204"/>
      <c r="E625" s="204">
        <f>VLOOKUP(B625,$A$681:$F$2272,6,FALSE)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VLOOKUP(K625,$A$681:$F$2272,6,FALSE)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2084</v>
      </c>
      <c r="V625" s="204"/>
      <c r="W625" s="204">
        <f>VLOOKUP(T625,$A$681:$F$2272,6,FALSE)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2067</v>
      </c>
      <c r="AE625" s="204"/>
      <c r="AF625" s="204">
        <f>VLOOKUP(AC625,$A$681:$F$2272,6,FALSE)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VLOOKUP(AL625,$A$681:$F$2272,6,FALSE)</f>
        <v>122</v>
      </c>
      <c r="AP625" s="203" t="s">
        <v>65</v>
      </c>
      <c r="AQ625" s="10">
        <f>AO625*1.3</f>
        <v>158.6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VLOOKUP(AU625,$A$681:$F$2272,6,FALSE)</f>
        <v>122</v>
      </c>
      <c r="AY625" s="203" t="s">
        <v>65</v>
      </c>
      <c r="AZ625" s="10">
        <f>AX625*1.3</f>
        <v>158.6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VLOOKUP(BD625,$A$681:$F$2272,6,FALSE)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2084</v>
      </c>
      <c r="BO625" s="204"/>
      <c r="BP625" s="204">
        <f>VLOOKUP(BM625,$A$681:$F$2272,6,FALSE)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VLOOKUP(BV625,$A$681:$F$2272,6,FALSE)</f>
        <v>85</v>
      </c>
      <c r="BZ625" s="203" t="s">
        <v>65</v>
      </c>
      <c r="CA625" s="10">
        <f>BY625*1.3</f>
        <v>110.5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VLOOKUP(CE625,$A$681:$F$2272,6,FALSE)</f>
        <v>85</v>
      </c>
      <c r="CI625" s="203" t="s">
        <v>65</v>
      </c>
      <c r="CJ625" s="10">
        <f>CH625*1.3</f>
        <v>110.5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VLOOKUP(CN625,$A$681:$F$2272,6,FALSE)</f>
        <v>85</v>
      </c>
      <c r="CR625" s="203" t="s">
        <v>65</v>
      </c>
      <c r="CS625" s="10">
        <f>CQ625*1.3</f>
        <v>110.5</v>
      </c>
      <c r="CT625" s="10"/>
      <c r="CU625" s="268"/>
      <c r="CV625" s="203" t="s">
        <v>87</v>
      </c>
      <c r="CW625" s="277" t="s">
        <v>2084</v>
      </c>
      <c r="CY625" s="204"/>
      <c r="CZ625" s="204">
        <f>VLOOKUP(CW625,$A$681:$F$2272,6,FALSE)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VLOOKUP(DF625,$A$681:$F$2272,6,FALSE)</f>
        <v>85</v>
      </c>
      <c r="DJ625" s="203" t="s">
        <v>65</v>
      </c>
      <c r="DK625" s="10">
        <f>DI625*1.3</f>
        <v>110.5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VLOOKUP(DO625,$A$681:$F$2272,6,FALSE)</f>
        <v>275</v>
      </c>
      <c r="DS625" s="203" t="s">
        <v>65</v>
      </c>
      <c r="DT625" s="10">
        <f>DR625*1.3</f>
        <v>357.5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VLOOKUP(DX625,$A$681:$F$2272,6,FALSE)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VLOOKUP(EG625,$A$681:$F$2272,6,FALSE)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VLOOKUP(EP625,$A$681:$F$2272,6,FALSE)</f>
        <v>122</v>
      </c>
      <c r="ET625" s="203" t="s">
        <v>65</v>
      </c>
      <c r="EU625" s="10">
        <f>ES625*1.3</f>
        <v>158.6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VLOOKUP(EY625,$A$681:$F$2272,6,FALSE)</f>
        <v>42</v>
      </c>
      <c r="FC625" s="203" t="s">
        <v>65</v>
      </c>
      <c r="FD625" s="10">
        <f>FB625*1.3</f>
        <v>54.6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VLOOKUP(FH625,$A$681:$F$2272,6,FALSE)</f>
        <v>85</v>
      </c>
      <c r="FL625" s="203" t="s">
        <v>65</v>
      </c>
      <c r="FM625" s="10">
        <f>FK625*1.3</f>
        <v>110.5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VLOOKUP(FQ625,$A$681:$F$2272,6,FALSE)</f>
        <v>276</v>
      </c>
      <c r="FU625" s="203" t="s">
        <v>65</v>
      </c>
      <c r="FV625" s="10">
        <f>FT625*1.3</f>
        <v>358.8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VLOOKUP(FZ625,$A$681:$F$2272,6,FALSE)</f>
        <v>85</v>
      </c>
      <c r="GD625" s="203" t="s">
        <v>65</v>
      </c>
      <c r="GE625" s="10">
        <f>GC625*1.3</f>
        <v>110.5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VLOOKUP(GI625,$A$681:$F$2272,6,FALSE)</f>
        <v>85</v>
      </c>
      <c r="GM625" s="203" t="s">
        <v>65</v>
      </c>
      <c r="GN625" s="10">
        <f>GL625*1.3</f>
        <v>110.5</v>
      </c>
      <c r="GO625" s="10"/>
      <c r="GP625" s="268"/>
      <c r="GQ625" s="203" t="s">
        <v>87</v>
      </c>
      <c r="GR625" s="277" t="s">
        <v>2067</v>
      </c>
      <c r="GT625" s="204"/>
      <c r="GU625" s="204">
        <f>VLOOKUP(GR625,$A$681:$F$2272,6,FALSE)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VLOOKUP(HA625,$A$681:$F$2272,6,FALSE)</f>
        <v>275</v>
      </c>
      <c r="HE625" s="203" t="s">
        <v>65</v>
      </c>
      <c r="HF625" s="10">
        <f>HD625*1.3</f>
        <v>357.5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VLOOKUP(HJ625,$A$681:$F$2272,6,FALSE)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VLOOKUP(HS625,$A$681:$F$2272,6,FALSE)</f>
        <v>85</v>
      </c>
      <c r="HW625" s="203" t="s">
        <v>65</v>
      </c>
      <c r="HX625" s="10">
        <f>HV625*1.3</f>
        <v>110.5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VLOOKUP(IB625,$A$681:$F$2272,6,FALSE)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VLOOKUP(IK625,$A$681:$F$2272,6,FALSE)</f>
        <v>275</v>
      </c>
      <c r="IO625" s="203" t="s">
        <v>65</v>
      </c>
      <c r="IP625" s="10">
        <f>IN625*1.3</f>
        <v>357.5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VLOOKUP(IT625,$A$681:$F$2272,6,FALSE)</f>
        <v>42</v>
      </c>
      <c r="IX625" s="203" t="s">
        <v>65</v>
      </c>
      <c r="IY625" s="10">
        <f>IW625*1.3</f>
        <v>54.6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VLOOKUP(JC625,$A$681:$F$2272,6,FALSE)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VLOOKUP(JL625,$A$681:$F$2272,6,FALSE)</f>
        <v>85</v>
      </c>
      <c r="JP625" s="203" t="s">
        <v>65</v>
      </c>
      <c r="JQ625" s="10">
        <f>JO625*1.3</f>
        <v>110.5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VLOOKUP(JU625,$A$681:$F$2272,6,FALSE)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2084</v>
      </c>
      <c r="KF625" s="204"/>
      <c r="KG625" s="204">
        <f>VLOOKUP(KD625,$A$681:$F$2272,6,FALSE)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VLOOKUP(KM625,$A$681:$F$2272,6,FALSE)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VLOOKUP(KV625,$A$681:$F$2272,6,FALSE)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VLOOKUP(LE625,$A$681:$F$2272,6,FALSE)</f>
        <v>275</v>
      </c>
      <c r="LI625" s="203" t="s">
        <v>65</v>
      </c>
      <c r="LJ625" s="10">
        <f>LH625*1.3</f>
        <v>357.5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VLOOKUP(LN625,$A$681:$F$2272,6,FALSE)</f>
        <v>122</v>
      </c>
      <c r="LR625" s="203" t="s">
        <v>65</v>
      </c>
      <c r="LS625" s="10">
        <f>LQ625*1.3</f>
        <v>158.6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VLOOKUP(LW625,$A$681:$F$2272,6,FALSE)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VLOOKUP(MF625,$A$681:$F$2272,6,FALSE)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VLOOKUP(MO625,$A$681:$F$2272,6,FALSE)</f>
        <v>42</v>
      </c>
      <c r="MS625" s="203" t="s">
        <v>65</v>
      </c>
      <c r="MT625" s="10">
        <f>MR625*1.3</f>
        <v>54.6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VLOOKUP(MX625,$A$681:$F$2272,6,FALSE)</f>
        <v>38</v>
      </c>
      <c r="NB625" s="203" t="s">
        <v>65</v>
      </c>
      <c r="NC625" s="10">
        <f>NA625*1.3</f>
        <v>49.4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VLOOKUP(NG625,$A$681:$F$2272,6,FALSE)</f>
        <v>98</v>
      </c>
      <c r="NK625" s="203" t="s">
        <v>65</v>
      </c>
      <c r="NL625" s="10">
        <f>NJ625*1.3</f>
        <v>127.4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VLOOKUP(NP625,$A$681:$F$2272,6,FALSE)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VLOOKUP(NY625,$A$681:$F$2272,6,FALSE)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VLOOKUP(OH625,$A$681:$F$2272,6,FALSE)</f>
        <v>34</v>
      </c>
      <c r="OL625" s="203" t="s">
        <v>65</v>
      </c>
      <c r="OM625" s="10">
        <f>OK625*1.3</f>
        <v>44.2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VLOOKUP(OQ625,$A$681:$F$2272,6,FALSE)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VLOOKUP(OZ625,$A$681:$F$2272,6,FALSE)</f>
        <v>122</v>
      </c>
      <c r="PD625" s="203" t="s">
        <v>65</v>
      </c>
      <c r="PE625" s="10">
        <f>PC625*1.3</f>
        <v>158.6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VLOOKUP(PI625,$A$681:$F$2272,6,FALSE)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VLOOKUP(PR625,$A$681:$F$2272,6,FALSE)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VLOOKUP(QA625,$A$681:$F$2272,6,FALSE)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VLOOKUP(QJ625,$A$681:$F$2272,6,FALSE)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2067</v>
      </c>
      <c r="QU625" s="204"/>
      <c r="QV625" s="204">
        <f>VLOOKUP(QS625,$A$681:$F$2272,6,FALSE)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VLOOKUP(RB625,$A$681:$F$2272,6,FALSE)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VLOOKUP(RK625,$A$681:$F$2272,6,FALSE)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VLOOKUP(RT625,$A$681:$F$2272,6,FALSE)</f>
        <v>276</v>
      </c>
      <c r="RX625" s="203" t="s">
        <v>65</v>
      </c>
      <c r="RY625" s="10">
        <f>RW625*1.3</f>
        <v>358.8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VLOOKUP(SC625,$A$681:$F$2272,6,FALSE)</f>
        <v>276</v>
      </c>
      <c r="SG625" s="203" t="s">
        <v>65</v>
      </c>
      <c r="SH625" s="10">
        <f>SF625*1.3</f>
        <v>358.8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VLOOKUP(SL625,$A$681:$F$2272,6,FALSE)</f>
        <v>122</v>
      </c>
      <c r="SP625" s="203" t="s">
        <v>65</v>
      </c>
      <c r="SQ625" s="10">
        <f>SO625*1.3</f>
        <v>158.6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VLOOKUP(SU625,$A$681:$F$2272,6,FALSE)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VLOOKUP(TD625,$A$681:$F$2272,6,FALSE)</f>
        <v>85</v>
      </c>
      <c r="TH625" s="203" t="s">
        <v>65</v>
      </c>
      <c r="TI625" s="10">
        <f>TG625*1.3</f>
        <v>110.5</v>
      </c>
      <c r="TK625" s="274"/>
      <c r="TL625" s="203" t="s">
        <v>87</v>
      </c>
      <c r="TM625" s="277" t="s">
        <v>705</v>
      </c>
      <c r="TO625" s="204"/>
      <c r="TP625" s="204">
        <f>VLOOKUP(TM625,$A$681:$F$2272,6,FALSE)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VLOOKUP(TV625,$A$681:$F$2272,6,FALSE)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VLOOKUP(UE625,$A$681:$F$2272,6,FALSE)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2067</v>
      </c>
      <c r="UP625" s="204"/>
      <c r="UQ625" s="204">
        <f>VLOOKUP(UN625,$A$681:$F$2272,6,FALSE)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VLOOKUP(UW625,$A$681:$F$2272,6,FALSE)</f>
        <v>122</v>
      </c>
      <c r="VA625" s="203" t="s">
        <v>65</v>
      </c>
      <c r="VB625" s="10">
        <f>UZ625*1.3</f>
        <v>158.6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VLOOKUP(VF625,$A$681:$F$2272,6,FALSE)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2067</v>
      </c>
      <c r="VQ625" s="204"/>
      <c r="VR625" s="204">
        <f>VLOOKUP(VO625,$A$681:$F$2272,6,FALSE)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VLOOKUP(VX625,$A$681:$F$2272,6,FALSE)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VLOOKUP(WG625,$A$681:$F$2272,6,FALSE)</f>
        <v>122</v>
      </c>
      <c r="WK625" s="203" t="s">
        <v>65</v>
      </c>
      <c r="WL625" s="10">
        <f>WJ625*1.3</f>
        <v>158.6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VLOOKUP(WP625,$A$681:$F$2272,6,FALSE)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VLOOKUP(WY625,$A$681:$F$2272,6,FALSE)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VLOOKUP(XH625,$A$681:$F$2272,6,FALSE)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2084</v>
      </c>
      <c r="XS625" s="204"/>
      <c r="XT625" s="204">
        <f>VLOOKUP(XQ625,$A$681:$F$2272,6,FALSE)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VLOOKUP(XZ625,$A$681:$F$2272,6,FALSE)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VLOOKUP(YI625,$A$681:$F$2272,6,FALSE)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VLOOKUP(YR625,$A$681:$F$2272,6,FALSE)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VLOOKUP(ZA625,$A$681:$F$2272,6,FALSE)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821</v>
      </c>
      <c r="ZL625" s="204"/>
      <c r="ZM625" s="204">
        <f>VLOOKUP(ZJ625,$A$681:$F$2272,6,FALSE)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VLOOKUP(ZS625,$A$681:$F$2272,6,FALSE)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VLOOKUP(AAB625,$A$681:$F$2272,6,FALSE)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VLOOKUP(AAK625,$A$681:$F$2272,6,FALSE)</f>
        <v>42</v>
      </c>
      <c r="AAO625" s="203" t="s">
        <v>65</v>
      </c>
      <c r="AAP625" s="10">
        <f>AAN625*1.3</f>
        <v>54.6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VLOOKUP(AAT625,$A$681:$F$2272,6,FALSE)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VLOOKUP(ABC625,$A$681:$F$2272,6,FALSE)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VLOOKUP(ABL625,$A$681:$F$2272,6,FALSE)</f>
        <v>276</v>
      </c>
      <c r="ABP625" s="203" t="s">
        <v>65</v>
      </c>
      <c r="ABQ625" s="10">
        <f>ABO625*1.3</f>
        <v>358.8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VLOOKUP(ABU625,$A$681:$F$2272,6,FALSE)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VLOOKUP(ACD625,$A$681:$F$2272,6,FALSE)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VLOOKUP(ACM625,$A$681:$F$2272,6,FALSE)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VLOOKUP(ACV625,$A$681:$F$2272,6,FALSE)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VLOOKUP(ADE625,$A$681:$F$2272,6,FALSE)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VLOOKUP(ADN625,$A$681:$F$2272,6,FALSE)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VLOOKUP(ADW625,$A$681:$F$2272,6,FALSE)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VLOOKUP(AEF625,$A$681:$F$2272,6,FALSE)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VLOOKUP(AEO625,$A$681:$F$2272,6,FALSE)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VLOOKUP(AEX625,$A$681:$F$2272,6,FALSE)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VLOOKUP(AFG625,$A$681:$F$2272,6,FALSE)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VLOOKUP(AFP625,$A$681:$F$2272,6,FALSE)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VLOOKUP(AFY625,$A$681:$F$2272,6,FALSE)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VLOOKUP(AGH625,$A$681:$F$2272,6,FALSE)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VLOOKUP(AGQ625,$A$681:$F$2272,6,FALSE)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VLOOKUP(AGZ625,$A$681:$F$2272,6,FALSE)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VLOOKUP(AHI625,$A$681:$F$2272,6,FALSE)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VLOOKUP(AHR625,$A$681:$F$2272,6,FALSE)</f>
        <v>276</v>
      </c>
      <c r="AHV625" s="203" t="s">
        <v>65</v>
      </c>
      <c r="AHW625" s="10">
        <f>AHU625*1.3</f>
        <v>358.8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VLOOKUP(AIA625,$A$681:$F$2272,6,FALSE)</f>
        <v>42</v>
      </c>
      <c r="AIE625" s="203" t="s">
        <v>65</v>
      </c>
      <c r="AIF625" s="10">
        <f>AID625*1.3</f>
        <v>54.6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VLOOKUP(AIJ625,$A$681:$F$2272,6,FALSE)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VLOOKUP(AIS625,$A$681:$F$2272,6,FALSE)</f>
        <v>275</v>
      </c>
      <c r="AIW625" s="203" t="s">
        <v>65</v>
      </c>
      <c r="AIX625" s="10">
        <f>AIV625*1.3</f>
        <v>357.5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VLOOKUP(AJB625,$A$681:$F$2272,6,FALSE)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VLOOKUP(AJK625,$A$681:$F$2272,6,FALSE)</f>
        <v>42</v>
      </c>
      <c r="AJO625" s="203" t="s">
        <v>65</v>
      </c>
      <c r="AJP625" s="10">
        <f>AJN625*1.3</f>
        <v>54.6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VLOOKUP(AJT625,$A$681:$F$2272,6,FALSE)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VLOOKUP(AKC625,$A$681:$F$2272,6,FALSE)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VLOOKUP(AKL625,$A$681:$F$2272,6,FALSE)</f>
        <v>85</v>
      </c>
      <c r="AKP625" s="203" t="s">
        <v>65</v>
      </c>
      <c r="AKQ625" s="10">
        <f>AKO625*1.3</f>
        <v>110.5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VLOOKUP(AKU625,$A$681:$F$2272,6,FALSE)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VLOOKUP(ALD625,$A$681:$F$2272,6,FALSE)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VLOOKUP(ALM625,$A$681:$F$2272,6,FALSE)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VLOOKUP(ALV625,$A$681:$F$2272,6,FALSE)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VLOOKUP(AME625,$A$681:$F$2272,6,FALSE)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VLOOKUP(AMN625,$A$681:$F$2272,6,FALSE)</f>
        <v>276</v>
      </c>
      <c r="AMR625" s="203" t="s">
        <v>65</v>
      </c>
      <c r="AMS625" s="10">
        <f>AMQ625*1.3</f>
        <v>358.8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VLOOKUP(AMW625,$A$681:$F$2272,6,FALSE)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VLOOKUP(ANF625,$A$681:$F$2272,6,FALSE)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VLOOKUP(ANO625,$A$681:$F$2272,6,FALSE)</f>
        <v>85</v>
      </c>
      <c r="ANS625" s="203" t="s">
        <v>65</v>
      </c>
      <c r="ANT625" s="10">
        <f>ANR625*1.3</f>
        <v>110.5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VLOOKUP(ANX625,$A$681:$F$2272,6,FALSE)</f>
        <v>42</v>
      </c>
      <c r="AOB625" s="203" t="s">
        <v>65</v>
      </c>
      <c r="AOC625" s="10">
        <f>AOA625*1.3</f>
        <v>54.6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VLOOKUP(AOG625,$A$681:$F$2272,6,FALSE)</f>
        <v>122</v>
      </c>
      <c r="AOK625" s="203" t="s">
        <v>65</v>
      </c>
      <c r="AOL625" s="10">
        <f>AOJ625*1.3</f>
        <v>158.6</v>
      </c>
      <c r="AOM625" s="10"/>
      <c r="AON625" s="274"/>
      <c r="AOO625" s="203" t="s">
        <v>87</v>
      </c>
      <c r="AOP625" s="277" t="s">
        <v>2067</v>
      </c>
      <c r="AOR625" s="204"/>
      <c r="AOS625" s="204">
        <f>VLOOKUP(AOP625,$A$681:$F$2272,6,FALSE)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VLOOKUP(AOY625,$A$681:$F$2272,6,FALSE)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2084</v>
      </c>
      <c r="APJ625" s="204"/>
      <c r="APK625" s="204">
        <f>VLOOKUP(APH625,$A$681:$F$2272,6,FALSE)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VLOOKUP(APQ625,$A$681:$F$2272,6,FALSE)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2067</v>
      </c>
      <c r="AQB625" s="204"/>
      <c r="AQC625" s="204">
        <f>VLOOKUP(APZ625,$A$681:$F$2272,6,FALSE)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2084</v>
      </c>
      <c r="D626" s="204"/>
      <c r="E626" s="204">
        <f>VLOOKUP(B626,$A$681:$F$2272,6,FALSE)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2067</v>
      </c>
      <c r="M626" s="204"/>
      <c r="N626" s="204">
        <f>VLOOKUP(K626,$A$681:$F$2272,6,FALSE)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VLOOKUP(T626,$A$681:$F$2272,6,FALSE)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VLOOKUP(AC626,$A$681:$F$2272,6,FALSE)</f>
        <v>85</v>
      </c>
      <c r="AG626" s="203" t="s">
        <v>67</v>
      </c>
      <c r="AH626" s="10">
        <f>AF626*1.2</f>
        <v>102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VLOOKUP(AL626,$A$681:$F$2272,6,FALSE)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VLOOKUP(AU626,$A$681:$F$2272,6,FALSE)</f>
        <v>85</v>
      </c>
      <c r="AY626" s="203" t="s">
        <v>67</v>
      </c>
      <c r="AZ626" s="10">
        <f>AX626*1.2</f>
        <v>102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VLOOKUP(BD626,$A$681:$F$2272,6,FALSE)</f>
        <v>122</v>
      </c>
      <c r="BH626" s="203" t="s">
        <v>67</v>
      </c>
      <c r="BI626" s="10">
        <f>BG626*1.2</f>
        <v>146.4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VLOOKUP(BM626,$A$681:$F$2272,6,FALSE)</f>
        <v>276</v>
      </c>
      <c r="BQ626" s="203" t="s">
        <v>67</v>
      </c>
      <c r="BR626" s="10">
        <f>BP626*1.2</f>
        <v>331.2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VLOOKUP(BV626,$A$681:$F$2272,6,FALSE)</f>
        <v>42</v>
      </c>
      <c r="BZ626" s="203" t="s">
        <v>67</v>
      </c>
      <c r="CA626" s="10">
        <f>BY626*1.2</f>
        <v>50.4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VLOOKUP(CE626,$A$681:$F$2272,6,FALSE)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2084</v>
      </c>
      <c r="CP626" s="204"/>
      <c r="CQ626" s="204">
        <f>VLOOKUP(CN626,$A$681:$F$2272,6,FALSE)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2067</v>
      </c>
      <c r="CY626" s="204"/>
      <c r="CZ626" s="204">
        <f>VLOOKUP(CW626,$A$681:$F$2272,6,FALSE)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VLOOKUP(DF626,$A$681:$F$2272,6,FALSE)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VLOOKUP(DO626,$A$681:$F$2272,6,FALSE)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VLOOKUP(DX626,$A$681:$F$2272,6,FALSE)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VLOOKUP(EG626,$A$681:$F$2272,6,FALSE)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2067</v>
      </c>
      <c r="ER626" s="204"/>
      <c r="ES626" s="204">
        <f>VLOOKUP(EP626,$A$681:$F$2272,6,FALSE)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VLOOKUP(EY626,$A$681:$F$2272,6,FALSE)</f>
        <v>275</v>
      </c>
      <c r="FC626" s="203" t="s">
        <v>67</v>
      </c>
      <c r="FD626" s="10">
        <f>FB626*1.2</f>
        <v>330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VLOOKUP(FH626,$A$681:$F$2272,6,FALSE)</f>
        <v>42</v>
      </c>
      <c r="FL626" s="203" t="s">
        <v>67</v>
      </c>
      <c r="FM626" s="10">
        <f>FK626*1.2</f>
        <v>50.4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VLOOKUP(FQ626,$A$681:$F$2272,6,FALSE)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2084</v>
      </c>
      <c r="GB626" s="204"/>
      <c r="GC626" s="204">
        <f>VLOOKUP(FZ626,$A$681:$F$2272,6,FALSE)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VLOOKUP(GI626,$A$681:$F$2272,6,FALSE)</f>
        <v>42</v>
      </c>
      <c r="GM626" s="203" t="s">
        <v>67</v>
      </c>
      <c r="GN626" s="10">
        <f>GL626*1.2</f>
        <v>50.4</v>
      </c>
      <c r="GO626" s="10"/>
      <c r="GP626" s="268"/>
      <c r="GQ626" s="203" t="s">
        <v>88</v>
      </c>
      <c r="GR626" s="277" t="s">
        <v>2084</v>
      </c>
      <c r="GT626" s="204"/>
      <c r="GU626" s="204">
        <f>VLOOKUP(GR626,$A$681:$F$2272,6,FALSE)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VLOOKUP(HA626,$A$681:$F$2272,6,FALSE)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2084</v>
      </c>
      <c r="HL626" s="204"/>
      <c r="HM626" s="204">
        <f>VLOOKUP(HJ626,$A$681:$F$2272,6,FALSE)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VLOOKUP(HS626,$A$681:$F$2272,6,FALSE)</f>
        <v>122</v>
      </c>
      <c r="HW626" s="203" t="s">
        <v>67</v>
      </c>
      <c r="HX626" s="10">
        <f>HV626*1.2</f>
        <v>146.4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VLOOKUP(IB626,$A$681:$F$2272,6,FALSE)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VLOOKUP(IK626,$A$681:$F$2272,6,FALSE)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VLOOKUP(IT626,$A$681:$F$2272,6,FALSE)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VLOOKUP(JC626,$A$681:$F$2272,6,FALSE)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2067</v>
      </c>
      <c r="JN626" s="204"/>
      <c r="JO626" s="204">
        <f>VLOOKUP(JL626,$A$681:$F$2272,6,FALSE)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VLOOKUP(JU626,$A$681:$F$2272,6,FALSE)</f>
        <v>276</v>
      </c>
      <c r="JY626" s="203" t="s">
        <v>67</v>
      </c>
      <c r="JZ626" s="10">
        <f>JX626*1.2</f>
        <v>331.2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VLOOKUP(KD626,$A$681:$F$2272,6,FALSE)</f>
        <v>42</v>
      </c>
      <c r="KH626" s="203" t="s">
        <v>67</v>
      </c>
      <c r="KI626" s="10">
        <f>KG626*1.2</f>
        <v>50.4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VLOOKUP(KM626,$A$681:$F$2272,6,FALSE)</f>
        <v>85</v>
      </c>
      <c r="KQ626" s="203" t="s">
        <v>67</v>
      </c>
      <c r="KR626" s="10">
        <f>KP626*1.2</f>
        <v>102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VLOOKUP(KV626,$A$681:$F$2272,6,FALSE)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VLOOKUP(LE626,$A$681:$F$2272,6,FALSE)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2084</v>
      </c>
      <c r="LP626" s="204"/>
      <c r="LQ626" s="204">
        <f>VLOOKUP(LN626,$A$681:$F$2272,6,FALSE)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VLOOKUP(LW626,$A$681:$F$2272,6,FALSE)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VLOOKUP(MF626,$A$681:$F$2272,6,FALSE)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VLOOKUP(MO626,$A$681:$F$2272,6,FALSE)</f>
        <v>85</v>
      </c>
      <c r="MS626" s="203" t="s">
        <v>67</v>
      </c>
      <c r="MT626" s="10">
        <f>MR626*1.2</f>
        <v>102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VLOOKUP(MX626,$A$681:$F$2272,6,FALSE)</f>
        <v>98</v>
      </c>
      <c r="NB626" s="203" t="s">
        <v>67</v>
      </c>
      <c r="NC626" s="10">
        <f>NA626*1.2</f>
        <v>117.6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VLOOKUP(NG626,$A$681:$F$2272,6,FALSE)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VLOOKUP(NP626,$A$681:$F$2272,6,FALSE)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VLOOKUP(NY626,$A$681:$F$2272,6,FALSE)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VLOOKUP(OH626,$A$681:$F$2272,6,FALSE)</f>
        <v>85</v>
      </c>
      <c r="OL626" s="203" t="s">
        <v>67</v>
      </c>
      <c r="OM626" s="10">
        <f>OK626*1.2</f>
        <v>102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VLOOKUP(OQ626,$A$681:$F$2272,6,FALSE)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2084</v>
      </c>
      <c r="PB626" s="204"/>
      <c r="PC626" s="204">
        <f>VLOOKUP(OZ626,$A$681:$F$2272,6,FALSE)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VLOOKUP(PI626,$A$681:$F$2272,6,FALSE)</f>
        <v>42</v>
      </c>
      <c r="PM626" s="203" t="s">
        <v>67</v>
      </c>
      <c r="PN626" s="10">
        <f>PL626*1.2</f>
        <v>50.4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VLOOKUP(PR626,$A$681:$F$2272,6,FALSE)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VLOOKUP(QA626,$A$681:$F$2272,6,FALSE)</f>
        <v>275</v>
      </c>
      <c r="QE626" s="203" t="s">
        <v>67</v>
      </c>
      <c r="QF626" s="10">
        <f>QD626*1.2</f>
        <v>330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VLOOKUP(QJ626,$A$681:$F$2272,6,FALSE)</f>
        <v>42</v>
      </c>
      <c r="QN626" s="203" t="s">
        <v>67</v>
      </c>
      <c r="QO626" s="10">
        <f>QM626*1.2</f>
        <v>50.4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VLOOKUP(QS626,$A$681:$F$2272,6,FALSE)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VLOOKUP(RB626,$A$681:$F$2272,6,FALSE)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VLOOKUP(RK626,$A$681:$F$2272,6,FALSE)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VLOOKUP(RT626,$A$681:$F$2272,6,FALSE)</f>
        <v>85</v>
      </c>
      <c r="RX626" s="203" t="s">
        <v>67</v>
      </c>
      <c r="RY626" s="10">
        <f>RW626*1.2</f>
        <v>102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VLOOKUP(SC626,$A$681:$F$2272,6,FALSE)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VLOOKUP(SL626,$A$681:$F$2272,6,FALSE)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VLOOKUP(SU626,$A$681:$F$2272,6,FALSE)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VLOOKUP(TD626,$A$681:$F$2272,6,FALSE)</f>
        <v>38</v>
      </c>
      <c r="TH626" s="203" t="s">
        <v>67</v>
      </c>
      <c r="TI626" s="10">
        <f>TG626*1.2</f>
        <v>45.6</v>
      </c>
      <c r="TK626" s="274"/>
      <c r="TL626" s="203" t="s">
        <v>88</v>
      </c>
      <c r="TM626" s="277" t="s">
        <v>2067</v>
      </c>
      <c r="TO626" s="204"/>
      <c r="TP626" s="204">
        <f>VLOOKUP(TM626,$A$681:$F$2272,6,FALSE)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VLOOKUP(TV626,$A$681:$F$2272,6,FALSE)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VLOOKUP(UE626,$A$681:$F$2272,6,FALSE)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VLOOKUP(UN626,$A$681:$F$2272,6,FALSE)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VLOOKUP(UW626,$A$681:$F$2272,6,FALSE)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VLOOKUP(VF626,$A$681:$F$2272,6,FALSE)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VLOOKUP(VO626,$A$681:$F$2272,6,FALSE)</f>
        <v>40</v>
      </c>
      <c r="VS626" s="203" t="s">
        <v>67</v>
      </c>
      <c r="VT626" s="10">
        <f>VR626*1.2</f>
        <v>48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VLOOKUP(VX626,$A$681:$F$2272,6,FALSE)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VLOOKUP(WG626,$A$681:$F$2272,6,FALSE)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VLOOKUP(WP626,$A$681:$F$2272,6,FALSE)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VLOOKUP(WY626,$A$681:$F$2272,6,FALSE)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VLOOKUP(XH626,$A$681:$F$2272,6,FALSE)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2067</v>
      </c>
      <c r="XS626" s="204"/>
      <c r="XT626" s="204">
        <f>VLOOKUP(XQ626,$A$681:$F$2272,6,FALSE)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VLOOKUP(XZ626,$A$681:$F$2272,6,FALSE)</f>
        <v>122</v>
      </c>
      <c r="YD626" s="203" t="s">
        <v>67</v>
      </c>
      <c r="YE626" s="10">
        <f>YC626*1.2</f>
        <v>146.4</v>
      </c>
      <c r="YG626" s="274"/>
      <c r="YH626" s="203" t="s">
        <v>88</v>
      </c>
      <c r="YI626" s="279" t="s">
        <v>183</v>
      </c>
      <c r="YK626" s="204"/>
      <c r="YL626" s="204" t="e">
        <f>VLOOKUP(YI626,$A$681:$F$2272,6,FALSE)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VLOOKUP(YR626,$A$681:$F$2272,6,FALSE)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VLOOKUP(ZA626,$A$681:$F$2272,6,FALSE)</f>
        <v>276</v>
      </c>
      <c r="ZE626" s="203" t="s">
        <v>67</v>
      </c>
      <c r="ZF626" s="10">
        <f>ZD626*1.2</f>
        <v>331.2</v>
      </c>
      <c r="ZH626" s="274"/>
      <c r="ZI626" s="203" t="s">
        <v>88</v>
      </c>
      <c r="ZJ626" s="277" t="s">
        <v>626</v>
      </c>
      <c r="ZL626" s="204"/>
      <c r="ZM626" s="204">
        <f>VLOOKUP(ZJ626,$A$681:$F$2272,6,FALSE)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516</v>
      </c>
      <c r="ZU626" s="204"/>
      <c r="ZV626" s="204">
        <f>VLOOKUP(ZS626,$A$681:$F$2272,6,FALSE)</f>
        <v>275</v>
      </c>
      <c r="ZW626" s="203" t="s">
        <v>67</v>
      </c>
      <c r="ZX626" s="10">
        <f>ZV626*1.2</f>
        <v>330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VLOOKUP(AAB626,$A$681:$F$2272,6,FALSE)</f>
        <v>34</v>
      </c>
      <c r="AAF626" s="203" t="s">
        <v>67</v>
      </c>
      <c r="AAG626" s="10">
        <f>AAE626*1.2</f>
        <v>40.799999999999997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VLOOKUP(AAK626,$A$681:$F$2272,6,FALSE)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VLOOKUP(AAT626,$A$681:$F$2272,6,FALSE)</f>
        <v>275</v>
      </c>
      <c r="AAX626" s="203" t="s">
        <v>67</v>
      </c>
      <c r="AAY626" s="10">
        <f>AAW626*1.2</f>
        <v>330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VLOOKUP(ABC626,$A$681:$F$2272,6,FALSE)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VLOOKUP(ABL626,$A$681:$F$2272,6,FALSE)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VLOOKUP(ABU626,$A$681:$F$2272,6,FALSE)</f>
        <v>38</v>
      </c>
      <c r="ABY626" s="203" t="s">
        <v>67</v>
      </c>
      <c r="ABZ626" s="10">
        <f>ABX626*1.2</f>
        <v>45.6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VLOOKUP(ACD626,$A$681:$F$2272,6,FALSE)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VLOOKUP(ACM626,$A$681:$F$2272,6,FALSE)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VLOOKUP(ACV626,$A$681:$F$2272,6,FALSE)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VLOOKUP(ADE626,$A$681:$F$2272,6,FALSE)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VLOOKUP(ADN626,$A$681:$F$2272,6,FALSE)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VLOOKUP(ADW626,$A$681:$F$2272,6,FALSE)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VLOOKUP(AEF626,$A$681:$F$2272,6,FALSE)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VLOOKUP(AEO626,$A$681:$F$2272,6,FALSE)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VLOOKUP(AEX626,$A$681:$F$2272,6,FALSE)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VLOOKUP(AFG626,$A$681:$F$2272,6,FALSE)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VLOOKUP(AFP626,$A$681:$F$2272,6,FALSE)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VLOOKUP(AFY626,$A$681:$F$2272,6,FALSE)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VLOOKUP(AGH626,$A$681:$F$2272,6,FALSE)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VLOOKUP(AGQ626,$A$681:$F$2272,6,FALSE)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VLOOKUP(AGZ626,$A$681:$F$2272,6,FALSE)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VLOOKUP(AHI626,$A$681:$F$2272,6,FALSE)</f>
        <v>34</v>
      </c>
      <c r="AHM626" s="203" t="s">
        <v>67</v>
      </c>
      <c r="AHN626" s="10">
        <f>AHL626*1.2</f>
        <v>40.799999999999997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VLOOKUP(AHR626,$A$681:$F$2272,6,FALSE)</f>
        <v>85</v>
      </c>
      <c r="AHV626" s="203" t="s">
        <v>67</v>
      </c>
      <c r="AHW626" s="10">
        <f>AHU626*1.2</f>
        <v>102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VLOOKUP(AIA626,$A$681:$F$2272,6,FALSE)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VLOOKUP(AIJ626,$A$681:$F$2272,6,FALSE)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VLOOKUP(AIS626,$A$681:$F$2272,6,FALSE)</f>
        <v>85</v>
      </c>
      <c r="AIW626" s="203" t="s">
        <v>67</v>
      </c>
      <c r="AIX626" s="10">
        <f>AIV626*1.2</f>
        <v>102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VLOOKUP(AJB626,$A$681:$F$2272,6,FALSE)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VLOOKUP(AJK626,$A$681:$F$2272,6,FALSE)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VLOOKUP(AJT626,$A$681:$F$2272,6,FALSE)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VLOOKUP(AKC626,$A$681:$F$2272,6,FALSE)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VLOOKUP(AKL626,$A$681:$F$2272,6,FALSE)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VLOOKUP(AKU626,$A$681:$F$2272,6,FALSE)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VLOOKUP(ALD626,$A$681:$F$2272,6,FALSE)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VLOOKUP(ALM626,$A$681:$F$2272,6,FALSE)</f>
        <v>40</v>
      </c>
      <c r="ALQ626" s="203" t="s">
        <v>67</v>
      </c>
      <c r="ALR626" s="10">
        <f>ALP626*1.2</f>
        <v>48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VLOOKUP(ALV626,$A$681:$F$2272,6,FALSE)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VLOOKUP(AME626,$A$681:$F$2272,6,FALSE)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VLOOKUP(AMN626,$A$681:$F$2272,6,FALSE)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VLOOKUP(AMW626,$A$681:$F$2272,6,FALSE)</f>
        <v>275</v>
      </c>
      <c r="ANA626" s="203" t="s">
        <v>67</v>
      </c>
      <c r="ANB626" s="10">
        <f>AMZ626*1.2</f>
        <v>330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VLOOKUP(ANF626,$A$681:$F$2272,6,FALSE)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VLOOKUP(ANO626,$A$681:$F$2272,6,FALSE)</f>
        <v>42</v>
      </c>
      <c r="ANS626" s="203" t="s">
        <v>67</v>
      </c>
      <c r="ANT626" s="10">
        <f>ANR626*1.2</f>
        <v>50.4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VLOOKUP(ANX626,$A$681:$F$2272,6,FALSE)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2067</v>
      </c>
      <c r="AOI626" s="204"/>
      <c r="AOJ626" s="204">
        <f>VLOOKUP(AOG626,$A$681:$F$2272,6,FALSE)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VLOOKUP(AOP626,$A$681:$F$2272,6,FALSE)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2084</v>
      </c>
      <c r="APA626" s="204"/>
      <c r="APB626" s="204">
        <f>VLOOKUP(AOY626,$A$681:$F$2272,6,FALSE)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VLOOKUP(APH626,$A$681:$F$2272,6,FALSE)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VLOOKUP(APQ626,$A$681:$F$2272,6,FALSE)</f>
        <v>275</v>
      </c>
      <c r="APU626" s="203" t="s">
        <v>67</v>
      </c>
      <c r="APV626" s="10">
        <f>APT626*1.2</f>
        <v>330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VLOOKUP(APZ626,$A$681:$F$2272,6,FALSE)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VLOOKUP(B627,$A$681:$F$2272,6,FALSE)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VLOOKUP(K627,$A$681:$F$2272,6,FALSE)</f>
        <v>42</v>
      </c>
      <c r="O627" s="203" t="s">
        <v>69</v>
      </c>
      <c r="P627" s="10">
        <f>N627*1.1</f>
        <v>46.2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VLOOKUP(T627,$A$681:$F$2272,6,FALSE)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VLOOKUP(AC627,$A$681:$F$2272,6,FALSE)</f>
        <v>42</v>
      </c>
      <c r="AG627" s="203" t="s">
        <v>69</v>
      </c>
      <c r="AH627" s="10">
        <f>AF627*1.1</f>
        <v>46.2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VLOOKUP(AL627,$A$681:$F$2272,6,FALSE)</f>
        <v>276</v>
      </c>
      <c r="AP627" s="203" t="s">
        <v>69</v>
      </c>
      <c r="AQ627" s="10">
        <f>AO627*1.1</f>
        <v>303.60000000000002</v>
      </c>
      <c r="AR627" s="10"/>
      <c r="AS627" s="268"/>
      <c r="AT627" s="203" t="s">
        <v>89</v>
      </c>
      <c r="AU627" s="277" t="s">
        <v>2084</v>
      </c>
      <c r="AW627" s="204"/>
      <c r="AX627" s="204">
        <f>VLOOKUP(AU627,$A$681:$F$2272,6,FALSE)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2084</v>
      </c>
      <c r="BF627" s="204"/>
      <c r="BG627" s="204">
        <f>VLOOKUP(BD627,$A$681:$F$2272,6,FALSE)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2067</v>
      </c>
      <c r="BO627" s="204"/>
      <c r="BP627" s="204">
        <f>VLOOKUP(BM627,$A$681:$F$2272,6,FALSE)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2084</v>
      </c>
      <c r="BX627" s="204"/>
      <c r="BY627" s="204">
        <f>VLOOKUP(BV627,$A$681:$F$2272,6,FALSE)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VLOOKUP(CE627,$A$681:$F$2272,6,FALSE)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VLOOKUP(CN627,$A$681:$F$2272,6,FALSE)</f>
        <v>276</v>
      </c>
      <c r="CR627" s="203" t="s">
        <v>69</v>
      </c>
      <c r="CS627" s="10">
        <f>CQ627*1.1</f>
        <v>303.60000000000002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VLOOKUP(CW627,$A$681:$F$2272,6,FALSE)</f>
        <v>276</v>
      </c>
      <c r="DA627" s="203" t="s">
        <v>69</v>
      </c>
      <c r="DB627" s="10">
        <f>CZ627*1.1</f>
        <v>303.60000000000002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VLOOKUP(DF627,$A$681:$F$2272,6,FALSE)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VLOOKUP(DO627,$A$681:$F$2272,6,FALSE)</f>
        <v>85</v>
      </c>
      <c r="DS627" s="203" t="s">
        <v>69</v>
      </c>
      <c r="DT627" s="10">
        <f>DR627*1.1</f>
        <v>93.500000000000014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VLOOKUP(DX627,$A$681:$F$2272,6,FALSE)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VLOOKUP(EG627,$A$681:$F$2272,6,FALSE)</f>
        <v>276</v>
      </c>
      <c r="EK627" s="203" t="s">
        <v>69</v>
      </c>
      <c r="EL627" s="10">
        <f>EJ627*1.1</f>
        <v>303.60000000000002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VLOOKUP(EP627,$A$681:$F$2272,6,FALSE)</f>
        <v>40</v>
      </c>
      <c r="ET627" s="203" t="s">
        <v>69</v>
      </c>
      <c r="EU627" s="10">
        <f>ES627*1.1</f>
        <v>44</v>
      </c>
      <c r="EV627" s="10"/>
      <c r="EW627" s="268"/>
      <c r="EX627" s="203" t="s">
        <v>89</v>
      </c>
      <c r="EY627" s="277" t="s">
        <v>2067</v>
      </c>
      <c r="FA627" s="204"/>
      <c r="FB627" s="204">
        <f>VLOOKUP(EY627,$A$681:$F$2272,6,FALSE)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2084</v>
      </c>
      <c r="FJ627" s="204"/>
      <c r="FK627" s="204">
        <f>VLOOKUP(FH627,$A$681:$F$2272,6,FALSE)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2084</v>
      </c>
      <c r="FS627" s="204"/>
      <c r="FT627" s="204">
        <f>VLOOKUP(FQ627,$A$681:$F$2272,6,FALSE)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VLOOKUP(FZ627,$A$681:$F$2272,6,FALSE)</f>
        <v>122</v>
      </c>
      <c r="GD627" s="203" t="s">
        <v>69</v>
      </c>
      <c r="GE627" s="10">
        <f>GC627*1.1</f>
        <v>134.20000000000002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VLOOKUP(GI627,$A$681:$F$2272,6,FALSE)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VLOOKUP(GR627,$A$681:$F$2272,6,FALSE)</f>
        <v>275</v>
      </c>
      <c r="GV627" s="203" t="s">
        <v>69</v>
      </c>
      <c r="GW627" s="10">
        <f>GU627*1.1</f>
        <v>302.5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VLOOKUP(HA627,$A$681:$F$2272,6,FALSE)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VLOOKUP(HJ627,$A$681:$F$2272,6,FALSE)</f>
        <v>85</v>
      </c>
      <c r="HN627" s="203" t="s">
        <v>69</v>
      </c>
      <c r="HO627" s="10">
        <f>HM627*1.1</f>
        <v>93.500000000000014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VLOOKUP(HS627,$A$681:$F$2272,6,FALSE)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VLOOKUP(IB627,$A$681:$F$2272,6,FALSE)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2067</v>
      </c>
      <c r="IM627" s="204"/>
      <c r="IN627" s="204">
        <f>VLOOKUP(IK627,$A$681:$F$2272,6,FALSE)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VLOOKUP(IT627,$A$681:$F$2272,6,FALSE)</f>
        <v>85</v>
      </c>
      <c r="IX627" s="203" t="s">
        <v>69</v>
      </c>
      <c r="IY627" s="10">
        <f>IW627*1.1</f>
        <v>93.500000000000014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VLOOKUP(JC627,$A$681:$F$2272,6,FALSE)</f>
        <v>85</v>
      </c>
      <c r="JG627" s="203" t="s">
        <v>69</v>
      </c>
      <c r="JH627" s="10">
        <f>JF627*1.1</f>
        <v>93.500000000000014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VLOOKUP(JL627,$A$681:$F$2272,6,FALSE)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VLOOKUP(JU627,$A$681:$F$2272,6,FALSE)</f>
        <v>122</v>
      </c>
      <c r="JY627" s="203" t="s">
        <v>69</v>
      </c>
      <c r="JZ627" s="10">
        <f>JX627*1.1</f>
        <v>134.20000000000002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VLOOKUP(KD627,$A$681:$F$2272,6,FALSE)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VLOOKUP(KM627,$A$681:$F$2272,6,FALSE)</f>
        <v>38</v>
      </c>
      <c r="KQ627" s="203" t="s">
        <v>69</v>
      </c>
      <c r="KR627" s="10">
        <f>KP627*1.1</f>
        <v>41.800000000000004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VLOOKUP(KV627,$A$681:$F$2272,6,FALSE)</f>
        <v>42</v>
      </c>
      <c r="KZ627" s="203" t="s">
        <v>69</v>
      </c>
      <c r="LA627" s="10">
        <f>KY627*1.1</f>
        <v>46.2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VLOOKUP(LE627,$A$681:$F$2272,6,FALSE)</f>
        <v>42</v>
      </c>
      <c r="LI627" s="203" t="s">
        <v>69</v>
      </c>
      <c r="LJ627" s="10">
        <f>LH627*1.1</f>
        <v>46.2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VLOOKUP(LN627,$A$681:$F$2272,6,FALSE)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VLOOKUP(LW627,$A$681:$F$2272,6,FALSE)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VLOOKUP(MF627,$A$681:$F$2272,6,FALSE)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VLOOKUP(MO627,$A$681:$F$2272,6,FALSE)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VLOOKUP(MX627,$A$681:$F$2272,6,FALSE)</f>
        <v>42</v>
      </c>
      <c r="NB627" s="203" t="s">
        <v>69</v>
      </c>
      <c r="NC627" s="10">
        <f>NA627*1.1</f>
        <v>46.2</v>
      </c>
      <c r="ND627" s="10"/>
      <c r="NE627" s="268"/>
      <c r="NF627" s="203" t="s">
        <v>89</v>
      </c>
      <c r="NG627" s="277" t="s">
        <v>2067</v>
      </c>
      <c r="NI627" s="204"/>
      <c r="NJ627" s="204">
        <f>VLOOKUP(NG627,$A$681:$F$2272,6,FALSE)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VLOOKUP(NP627,$A$681:$F$2272,6,FALSE)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VLOOKUP(NY627,$A$681:$F$2272,6,FALSE)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VLOOKUP(OH627,$A$681:$F$2272,6,FALSE)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VLOOKUP(OQ627,$A$681:$F$2272,6,FALSE)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VLOOKUP(OZ627,$A$681:$F$2272,6,FALSE)</f>
        <v>42</v>
      </c>
      <c r="PD627" s="203" t="s">
        <v>69</v>
      </c>
      <c r="PE627" s="10">
        <f>PC627*1.1</f>
        <v>46.2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VLOOKUP(PI627,$A$681:$F$2272,6,FALSE)</f>
        <v>122</v>
      </c>
      <c r="PM627" s="203" t="s">
        <v>69</v>
      </c>
      <c r="PN627" s="10">
        <f>PL627*1.1</f>
        <v>134.20000000000002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VLOOKUP(PR627,$A$681:$F$2272,6,FALSE)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VLOOKUP(QA627,$A$681:$F$2272,6,FALSE)</f>
        <v>42</v>
      </c>
      <c r="QE627" s="203" t="s">
        <v>69</v>
      </c>
      <c r="QF627" s="10">
        <f>QD627*1.1</f>
        <v>46.2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VLOOKUP(QJ627,$A$681:$F$2272,6,FALSE)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2084</v>
      </c>
      <c r="QU627" s="204"/>
      <c r="QV627" s="204">
        <f>VLOOKUP(QS627,$A$681:$F$2272,6,FALSE)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VLOOKUP(RB627,$A$681:$F$2272,6,FALSE)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VLOOKUP(RK627,$A$681:$F$2272,6,FALSE)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VLOOKUP(RT627,$A$681:$F$2272,6,FALSE)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VLOOKUP(SC627,$A$681:$F$2272,6,FALSE)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2084</v>
      </c>
      <c r="SN627" s="204"/>
      <c r="SO627" s="204">
        <f>VLOOKUP(SL627,$A$681:$F$2272,6,FALSE)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VLOOKUP(SU627,$A$681:$F$2272,6,FALSE)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VLOOKUP(TD627,$A$681:$F$2272,6,FALSE)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VLOOKUP(TM627,$A$681:$F$2272,6,FALSE)</f>
        <v>275</v>
      </c>
      <c r="TQ627" s="203" t="s">
        <v>69</v>
      </c>
      <c r="TR627" s="10">
        <f>TP627*1.1</f>
        <v>302.5</v>
      </c>
      <c r="TS627" s="10"/>
      <c r="TT627" s="274"/>
      <c r="TU627" s="203" t="s">
        <v>89</v>
      </c>
      <c r="TV627" s="277" t="s">
        <v>2084</v>
      </c>
      <c r="TX627" s="204"/>
      <c r="TY627" s="204">
        <f>VLOOKUP(TV627,$A$681:$F$2272,6,FALSE)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VLOOKUP(UE627,$A$681:$F$2272,6,FALSE)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VLOOKUP(UN627,$A$681:$F$2272,6,FALSE)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VLOOKUP(UW627,$A$681:$F$2272,6,FALSE)</f>
        <v>42</v>
      </c>
      <c r="VA627" s="203" t="s">
        <v>69</v>
      </c>
      <c r="VB627" s="10">
        <f>UZ627*1.1</f>
        <v>46.2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VLOOKUP(VF627,$A$681:$F$2272,6,FALSE)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VLOOKUP(VO627,$A$681:$F$2272,6,FALSE)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VLOOKUP(VX627,$A$681:$F$2272,6,FALSE)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VLOOKUP(WG627,$A$681:$F$2272,6,FALSE)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VLOOKUP(WP627,$A$681:$F$2272,6,FALSE)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VLOOKUP(WY627,$A$681:$F$2272,6,FALSE)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VLOOKUP(XH627,$A$681:$F$2272,6,FALSE)</f>
        <v>40</v>
      </c>
      <c r="XL627" s="203" t="s">
        <v>69</v>
      </c>
      <c r="XM627" s="10">
        <f>XK627*1.1</f>
        <v>44</v>
      </c>
      <c r="XO627" s="274"/>
      <c r="XP627" s="203" t="s">
        <v>89</v>
      </c>
      <c r="XQ627" s="277" t="s">
        <v>717</v>
      </c>
      <c r="XS627" s="204"/>
      <c r="XT627" s="204">
        <f>VLOOKUP(XQ627,$A$681:$F$2272,6,FALSE)</f>
        <v>85</v>
      </c>
      <c r="XU627" s="203" t="s">
        <v>69</v>
      </c>
      <c r="XV627" s="10">
        <f>XT627*1.1</f>
        <v>93.500000000000014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VLOOKUP(XZ627,$A$681:$F$2272,6,FALSE)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VLOOKUP(YI627,$A$681:$F$2272,6,FALSE)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VLOOKUP(YR627,$A$681:$F$2272,6,FALSE)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VLOOKUP(ZA627,$A$681:$F$2272,6,FALSE)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VLOOKUP(ZJ627,$A$681:$F$2272,6,FALSE)</f>
        <v>276</v>
      </c>
      <c r="ZN627" s="203" t="s">
        <v>69</v>
      </c>
      <c r="ZO627" s="10">
        <f>ZM627*1.1</f>
        <v>303.60000000000002</v>
      </c>
      <c r="ZQ627" s="274"/>
      <c r="ZR627" s="203" t="s">
        <v>89</v>
      </c>
      <c r="ZS627" s="277" t="s">
        <v>2067</v>
      </c>
      <c r="ZU627" s="204"/>
      <c r="ZV627" s="204">
        <f>VLOOKUP(ZS627,$A$681:$F$2272,6,FALSE)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VLOOKUP(AAB627,$A$681:$F$2272,6,FALSE)</f>
        <v>98</v>
      </c>
      <c r="AAF627" s="203" t="s">
        <v>69</v>
      </c>
      <c r="AAG627" s="10">
        <f>AAE627*1.1</f>
        <v>107.80000000000001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VLOOKUP(AAK627,$A$681:$F$2272,6,FALSE)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VLOOKUP(AAT627,$A$681:$F$2272,6,FALSE)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VLOOKUP(ABC627,$A$681:$F$2272,6,FALSE)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VLOOKUP(ABL627,$A$681:$F$2272,6,FALSE)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VLOOKUP(ABU627,$A$681:$F$2272,6,FALSE)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VLOOKUP(ACD627,$A$681:$F$2272,6,FALSE)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VLOOKUP(ACM627,$A$681:$F$2272,6,FALSE)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VLOOKUP(ACV627,$A$681:$F$2272,6,FALSE)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VLOOKUP(ADE627,$A$681:$F$2272,6,FALSE)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VLOOKUP(ADN627,$A$681:$F$2272,6,FALSE)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VLOOKUP(ADW627,$A$681:$F$2272,6,FALSE)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VLOOKUP(AEF627,$A$681:$F$2272,6,FALSE)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VLOOKUP(AEO627,$A$681:$F$2272,6,FALSE)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VLOOKUP(AEX627,$A$681:$F$2272,6,FALSE)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VLOOKUP(AFG627,$A$681:$F$2272,6,FALSE)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VLOOKUP(AFP627,$A$681:$F$2272,6,FALSE)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VLOOKUP(AFY627,$A$681:$F$2272,6,FALSE)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VLOOKUP(AGH627,$A$681:$F$2272,6,FALSE)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VLOOKUP(AGQ627,$A$681:$F$2272,6,FALSE)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2084</v>
      </c>
      <c r="AHB627" s="204"/>
      <c r="AHC627" s="204">
        <f>VLOOKUP(AGZ627,$A$681:$F$2272,6,FALSE)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VLOOKUP(AHI627,$A$681:$F$2272,6,FALSE)</f>
        <v>42</v>
      </c>
      <c r="AHM627" s="203" t="s">
        <v>69</v>
      </c>
      <c r="AHN627" s="10">
        <f>AHL627*1.1</f>
        <v>46.2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VLOOKUP(AHR627,$A$681:$F$2272,6,FALSE)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VLOOKUP(AIA627,$A$681:$F$2272,6,FALSE)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VLOOKUP(AIJ627,$A$681:$F$2272,6,FALSE)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VLOOKUP(AIS627,$A$681:$F$2272,6,FALSE)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VLOOKUP(AJB627,$A$681:$F$2272,6,FALSE)</f>
        <v>38</v>
      </c>
      <c r="AJF627" s="203" t="s">
        <v>69</v>
      </c>
      <c r="AJG627" s="10">
        <f>AJE627*1.1</f>
        <v>41.800000000000004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VLOOKUP(AJK627,$A$681:$F$2272,6,FALSE)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VLOOKUP(AJT627,$A$681:$F$2272,6,FALSE)</f>
        <v>34</v>
      </c>
      <c r="AJX627" s="203" t="s">
        <v>69</v>
      </c>
      <c r="AJY627" s="10">
        <f>AJW627*1.1</f>
        <v>37.400000000000006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VLOOKUP(AKC627,$A$681:$F$2272,6,FALSE)</f>
        <v>122</v>
      </c>
      <c r="AKG627" s="203" t="s">
        <v>69</v>
      </c>
      <c r="AKH627" s="10">
        <f>AKF627*1.1</f>
        <v>134.20000000000002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VLOOKUP(AKL627,$A$681:$F$2272,6,FALSE)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VLOOKUP(AKU627,$A$681:$F$2272,6,FALSE)</f>
        <v>38</v>
      </c>
      <c r="AKY627" s="203" t="s">
        <v>69</v>
      </c>
      <c r="AKZ627" s="10">
        <f>AKX627*1.1</f>
        <v>41.800000000000004</v>
      </c>
      <c r="ALA627" s="10"/>
      <c r="ALB627" s="274"/>
      <c r="ALC627" s="203" t="s">
        <v>89</v>
      </c>
      <c r="ALD627" s="277" t="s">
        <v>2084</v>
      </c>
      <c r="ALF627" s="204"/>
      <c r="ALG627" s="204">
        <f>VLOOKUP(ALD627,$A$681:$F$2272,6,FALSE)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2067</v>
      </c>
      <c r="ALO627" s="204"/>
      <c r="ALP627" s="204">
        <f>VLOOKUP(ALM627,$A$681:$F$2272,6,FALSE)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VLOOKUP(ALV627,$A$681:$F$2272,6,FALSE)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VLOOKUP(AME627,$A$681:$F$2272,6,FALSE)</f>
        <v>42</v>
      </c>
      <c r="AMI627" s="203" t="s">
        <v>69</v>
      </c>
      <c r="AMJ627" s="10">
        <f>AMH627*1.1</f>
        <v>46.2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VLOOKUP(AMN627,$A$681:$F$2272,6,FALSE)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VLOOKUP(AMW627,$A$681:$F$2272,6,FALSE)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VLOOKUP(ANF627,$A$681:$F$2272,6,FALSE)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VLOOKUP(ANO627,$A$681:$F$2272,6,FALSE)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VLOOKUP(ANX627,$A$681:$F$2272,6,FALSE)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VLOOKUP(AOG627,$A$681:$F$2272,6,FALSE)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VLOOKUP(AOP627,$A$681:$F$2272,6,FALSE)</f>
        <v>122</v>
      </c>
      <c r="AOT627" s="203" t="s">
        <v>69</v>
      </c>
      <c r="AOU627" s="10">
        <f>AOS627*1.1</f>
        <v>134.20000000000002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VLOOKUP(AOY627,$A$681:$F$2272,6,FALSE)</f>
        <v>34</v>
      </c>
      <c r="APC627" s="203" t="s">
        <v>69</v>
      </c>
      <c r="APD627" s="10">
        <f>APB627*1.1</f>
        <v>37.400000000000006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VLOOKUP(APH627,$A$681:$F$2272,6,FALSE)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VLOOKUP(APQ627,$A$681:$F$2272,6,FALSE)</f>
        <v>38</v>
      </c>
      <c r="APU627" s="203" t="s">
        <v>69</v>
      </c>
      <c r="APV627" s="10">
        <f>APT627*1.1</f>
        <v>41.800000000000004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VLOOKUP(APZ627,$A$681:$F$2272,6,FALSE)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496.59999999999997</v>
      </c>
      <c r="I628" s="268"/>
      <c r="J628" s="203"/>
      <c r="K628" s="415"/>
      <c r="M628" s="203"/>
      <c r="N628" s="203"/>
      <c r="O628" s="203"/>
      <c r="P628" s="10"/>
      <c r="Q628" s="10">
        <f>SUM(P623:P627)</f>
        <v>490.9</v>
      </c>
      <c r="R628" s="268"/>
      <c r="S628" s="203"/>
      <c r="T628" s="265"/>
      <c r="V628" s="203"/>
      <c r="W628" s="203"/>
      <c r="X628" s="203"/>
      <c r="Y628" s="10"/>
      <c r="Z628" s="10">
        <f>SUM(Y623:Y627)</f>
        <v>356.8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602.1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679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660.8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418.5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732.5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386.7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359.7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593.1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838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431.4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767.19999999999993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574.5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576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801.90000000000009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411.9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681.99999999999989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470.5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517.79999999999995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719.4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534.5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305.40000000000003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487.20000000000005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902.2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312.5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417.20000000000005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688.4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631.5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286.29999999999995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420.1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202.10000000000002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798.9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422.90000000000003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155.30000000000001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256.89999999999998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374.2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476.2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547.5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350.2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262.29999999999995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386.49999999999994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263.29999999999995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489.40000000000003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401.29999999999995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543.30000000000007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368.09999999999997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607.69999999999993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700.9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841.69999999999993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697.4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267.39999999999998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422.70000000000005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617.6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278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412.19999999999993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384.4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770.39999999999986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566.20000000000005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281.39999999999998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353.1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843.5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782.09999999999991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688.8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554.40000000000009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776.40000000000009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306.60000000000002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413.5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448.2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627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615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293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294.89999999999998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498.1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333.1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324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714.9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401.7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437.80000000000007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465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537.4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419.6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573.6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385.79999999999995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521.6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495.1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299.7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591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594.30000000000007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354.3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478.7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400.3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957.80000000000007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1003.1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249.3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410.79999999999995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574.59999999999991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513.80000000000007</v>
      </c>
      <c r="AQG628" s="274"/>
    </row>
    <row r="629" spans="1:1125" s="14" customFormat="1" ht="15">
      <c r="A629" s="203" t="s">
        <v>90</v>
      </c>
      <c r="B629" s="277" t="s">
        <v>2337</v>
      </c>
      <c r="D629" s="284">
        <f>IF(C629="Kopman",1.6,1)</f>
        <v>1</v>
      </c>
      <c r="E629" s="204">
        <f>VLOOKUP(B629,$A$681:$F$2272,6,FALSE)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2337</v>
      </c>
      <c r="M629" s="284">
        <f>IF(L629="Kopman",1.6,1)</f>
        <v>1</v>
      </c>
      <c r="N629" s="204">
        <f>VLOOKUP(K629,$A$681:$F$2272,6,FALSE)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VLOOKUP(T629,$A$681:$F$2272,6,FALSE)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2337</v>
      </c>
      <c r="AE629" s="284">
        <f>IF(AD629="Kopman",1.6,1)</f>
        <v>1</v>
      </c>
      <c r="AF629" s="204">
        <f>VLOOKUP(AC629,$A$681:$F$2272,6,FALSE)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VLOOKUP(AL629,$A$681:$F$2272,6,FALSE)</f>
        <v>130</v>
      </c>
      <c r="AP629" s="203" t="s">
        <v>61</v>
      </c>
      <c r="AQ629" s="10">
        <f>AO629*1.5*AN629</f>
        <v>195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VLOOKUP(AU629,$A$681:$F$2272,6,FALSE)</f>
        <v>130</v>
      </c>
      <c r="AY629" s="203" t="s">
        <v>61</v>
      </c>
      <c r="AZ629" s="10">
        <f>AX629*1.5*AW629</f>
        <v>195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VLOOKUP(BD629,$A$681:$F$2272,6,FALSE)</f>
        <v>130</v>
      </c>
      <c r="BH629" s="203" t="s">
        <v>61</v>
      </c>
      <c r="BI629" s="10">
        <f>BG629*1.5*BF629</f>
        <v>195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VLOOKUP(BM629,$A$681:$F$2272,6,FALSE)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VLOOKUP(BV629,$A$681:$F$2272,6,FALSE)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2337</v>
      </c>
      <c r="CG629" s="284">
        <f>IF(CF629="Kopman",1.6,1)</f>
        <v>1</v>
      </c>
      <c r="CH629" s="204">
        <f>VLOOKUP(CE629,$A$681:$F$2272,6,FALSE)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2337</v>
      </c>
      <c r="CP629" s="284">
        <f>IF(CO629="Kopman",1.6,1)</f>
        <v>1</v>
      </c>
      <c r="CQ629" s="204">
        <f>VLOOKUP(CN629,$A$681:$F$2272,6,FALSE)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2023</v>
      </c>
      <c r="CY629" s="284">
        <f>IF(CX629="Kopman",1.6,1)</f>
        <v>1.6</v>
      </c>
      <c r="CZ629" s="204">
        <f>VLOOKUP(CW629,$A$681:$F$2272,6,FALSE)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VLOOKUP(DF629,$A$681:$F$2272,6,FALSE)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VLOOKUP(DO629,$A$681:$F$2272,6,FALSE)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VLOOKUP(DX629,$A$681:$F$2272,6,FALSE)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2342</v>
      </c>
      <c r="EI629" s="284">
        <f>IF(EH629="Kopman",1.6,1)</f>
        <v>1</v>
      </c>
      <c r="EJ629" s="204">
        <f>VLOOKUP(EG629,$A$681:$F$2272,6,FALSE)</f>
        <v>94</v>
      </c>
      <c r="EK629" s="203" t="s">
        <v>61</v>
      </c>
      <c r="EL629" s="10">
        <f>EJ629*1.5*EI629</f>
        <v>141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VLOOKUP(EP629,$A$681:$F$2272,6,FALSE)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VLOOKUP(EY629,$A$681:$F$2272,6,FALSE)</f>
        <v>130</v>
      </c>
      <c r="FC629" s="203" t="s">
        <v>61</v>
      </c>
      <c r="FD629" s="10">
        <f>FB629*1.5*FA629</f>
        <v>195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VLOOKUP(FH629,$A$681:$F$2272,6,FALSE)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VLOOKUP(FQ629,$A$681:$F$2272,6,FALSE)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VLOOKUP(FZ629,$A$681:$F$2272,6,FALSE)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VLOOKUP(GI629,$A$681:$F$2272,6,FALSE)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VLOOKUP(GR629,$A$681:$F$2272,6,FALSE)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2337</v>
      </c>
      <c r="HC629" s="284">
        <f>IF(HB629="Kopman",1.6,1)</f>
        <v>1</v>
      </c>
      <c r="HD629" s="204">
        <f>VLOOKUP(HA629,$A$681:$F$2272,6,FALSE)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VLOOKUP(HJ629,$A$681:$F$2272,6,FALSE)</f>
        <v>130</v>
      </c>
      <c r="HN629" s="203" t="s">
        <v>61</v>
      </c>
      <c r="HO629" s="10">
        <f>HM629*1.5</f>
        <v>195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VLOOKUP(HS629,$A$681:$F$2272,6,FALSE)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VLOOKUP(IB629,$A$681:$F$2272,6,FALSE)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VLOOKUP(IK629,$A$681:$F$2272,6,FALSE)</f>
        <v>130</v>
      </c>
      <c r="IO629" s="203" t="s">
        <v>61</v>
      </c>
      <c r="IP629" s="10">
        <f>IN629*1.5*IM629</f>
        <v>195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VLOOKUP(IT629,$A$681:$F$2272,6,FALSE)</f>
        <v>53</v>
      </c>
      <c r="IX629" s="203" t="s">
        <v>61</v>
      </c>
      <c r="IY629" s="10">
        <f>IW629*1.5*IV629</f>
        <v>79.5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VLOOKUP(JC629,$A$681:$F$2272,6,FALSE)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VLOOKUP(JL629,$A$681:$F$2272,6,FALSE)</f>
        <v>130</v>
      </c>
      <c r="JP629" s="203" t="s">
        <v>61</v>
      </c>
      <c r="JQ629" s="10">
        <f>JO629*1.5*JN629</f>
        <v>195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VLOOKUP(JU629,$A$681:$F$2272,6,FALSE)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VLOOKUP(KD629,$A$681:$F$2272,6,FALSE)</f>
        <v>109</v>
      </c>
      <c r="KH629" s="203" t="s">
        <v>61</v>
      </c>
      <c r="KI629" s="10">
        <f>KG629*1.5*KF629</f>
        <v>163.5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VLOOKUP(KM629,$A$681:$F$2272,6,FALSE)</f>
        <v>130</v>
      </c>
      <c r="KQ629" s="203" t="s">
        <v>61</v>
      </c>
      <c r="KR629" s="10">
        <f>KP629*1.5</f>
        <v>195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VLOOKUP(KV629,$A$681:$F$2272,6,FALSE)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VLOOKUP(LE629,$A$681:$F$2272,6,FALSE)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VLOOKUP(LN629,$A$681:$F$2272,6,FALSE)</f>
        <v>130</v>
      </c>
      <c r="LR629" s="203" t="s">
        <v>61</v>
      </c>
      <c r="LS629" s="10">
        <f>LQ629*1.5*LP629</f>
        <v>195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VLOOKUP(LW629,$A$681:$F$2272,6,FALSE)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VLOOKUP(MF629,$A$681:$F$2272,6,FALSE)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VLOOKUP(MO629,$A$681:$F$2272,6,FALSE)</f>
        <v>64</v>
      </c>
      <c r="MS629" s="203" t="s">
        <v>61</v>
      </c>
      <c r="MT629" s="10">
        <f>MR629*1.5*MQ629</f>
        <v>96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VLOOKUP(MX629,$A$681:$F$2272,6,FALSE)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2342</v>
      </c>
      <c r="NI629" s="284">
        <f>IF(NH629="Kopman",1.6,1)</f>
        <v>1</v>
      </c>
      <c r="NJ629" s="204">
        <f>VLOOKUP(NG629,$A$681:$F$2272,6,FALSE)</f>
        <v>94</v>
      </c>
      <c r="NK629" s="203" t="s">
        <v>61</v>
      </c>
      <c r="NL629" s="10">
        <f>NJ629*1.5*NI629</f>
        <v>141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VLOOKUP(NP629,$A$681:$F$2272,6,FALSE)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VLOOKUP(NY629,$A$681:$F$2272,6,FALSE)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VLOOKUP(OH629,$A$681:$F$2272,6,FALSE)</f>
        <v>130</v>
      </c>
      <c r="OL629" s="203" t="s">
        <v>61</v>
      </c>
      <c r="OM629" s="10">
        <f>OK629*1.5*OJ629</f>
        <v>195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VLOOKUP(OQ629,$A$681:$F$2272,6,FALSE)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VLOOKUP(OZ629,$A$681:$F$2272,6,FALSE)</f>
        <v>130</v>
      </c>
      <c r="PD629" s="203" t="s">
        <v>61</v>
      </c>
      <c r="PE629" s="10">
        <f>PC629*1.5*PB629</f>
        <v>195</v>
      </c>
      <c r="PF629" s="10"/>
      <c r="PG629" s="268"/>
      <c r="PH629" s="203" t="s">
        <v>90</v>
      </c>
      <c r="PI629" s="277" t="s">
        <v>2337</v>
      </c>
      <c r="PK629" s="284">
        <f>IF(PJ629="Kopman",1.6,1)</f>
        <v>1</v>
      </c>
      <c r="PL629" s="204">
        <f>VLOOKUP(PI629,$A$681:$F$2272,6,FALSE)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VLOOKUP(PR629,$A$681:$F$2272,6,FALSE)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VLOOKUP(QA629,$A$681:$F$2272,6,FALSE)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VLOOKUP(QJ629,$A$681:$F$2272,6,FALSE)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VLOOKUP(QS629,$A$681:$F$2272,6,FALSE)</f>
        <v>130</v>
      </c>
      <c r="QW629" s="203" t="s">
        <v>61</v>
      </c>
      <c r="QX629" s="10">
        <f>QV629*1.5*QU629</f>
        <v>195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VLOOKUP(RB629,$A$681:$F$2272,6,FALSE)</f>
        <v>130</v>
      </c>
      <c r="RF629" s="203" t="s">
        <v>61</v>
      </c>
      <c r="RG629" s="10">
        <f>RE629*1.5*RD629</f>
        <v>195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VLOOKUP(RK629,$A$681:$F$2272,6,FALSE)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VLOOKUP(RT629,$A$681:$F$2272,6,FALSE)</f>
        <v>130</v>
      </c>
      <c r="RX629" s="203" t="s">
        <v>61</v>
      </c>
      <c r="RY629" s="10">
        <f>RW629*1.5*RV629</f>
        <v>195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VLOOKUP(SC629,$A$681:$F$2272,6,FALSE)</f>
        <v>130</v>
      </c>
      <c r="SG629" s="203" t="s">
        <v>61</v>
      </c>
      <c r="SH629" s="10">
        <f>SF629*1.5*SE629</f>
        <v>195</v>
      </c>
      <c r="SI629" s="10"/>
      <c r="SJ629" s="274"/>
      <c r="SK629" s="203" t="s">
        <v>90</v>
      </c>
      <c r="SL629" s="417" t="s">
        <v>670</v>
      </c>
      <c r="SM629" s="416" t="s">
        <v>2023</v>
      </c>
      <c r="SN629" s="284">
        <f>IF(SM629="Kopman",1.6,1)</f>
        <v>1.6</v>
      </c>
      <c r="SO629" s="204">
        <f>VLOOKUP(SL629,$A$681:$F$2272,6,FALSE)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VLOOKUP(SU629,$A$681:$F$2272,6,FALSE)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VLOOKUP(TD629,$A$681:$F$2272,6,FALSE)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2023</v>
      </c>
      <c r="TO629" s="284">
        <f>IF(TN629="Kopman",1.6,1)</f>
        <v>1.6</v>
      </c>
      <c r="TP629" s="204">
        <f>VLOOKUP(TM629,$A$681:$F$2272,6,FALSE)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VLOOKUP(TV629,$A$681:$F$2272,6,FALSE)</f>
        <v>130</v>
      </c>
      <c r="TZ629" s="203" t="s">
        <v>61</v>
      </c>
      <c r="UA629" s="10">
        <f>TY629*1.5*TX629</f>
        <v>195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VLOOKUP(UE629,$A$681:$F$2272,6,FALSE)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VLOOKUP(UN629,$A$681:$F$2272,6,FALSE)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VLOOKUP(UW629,$A$681:$F$2272,6,FALSE)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VLOOKUP(VF629,$A$681:$F$2272,6,FALSE)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2337</v>
      </c>
      <c r="VP629" s="416" t="s">
        <v>2023</v>
      </c>
      <c r="VQ629" s="284">
        <f>IF(VP629="Kopman",1.6,1)</f>
        <v>1.6</v>
      </c>
      <c r="VR629" s="204">
        <f>VLOOKUP(VO629,$A$681:$F$2272,6,FALSE)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VLOOKUP(VX629,$A$681:$F$2272,6,FALSE)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VLOOKUP(WG629,$A$681:$F$2272,6,FALSE)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VLOOKUP(WP629,$A$681:$F$2272,6,FALSE)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VLOOKUP(WY629,$A$681:$F$2272,6,FALSE)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VLOOKUP(XH629,$A$681:$F$2272,6,FALSE)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2337</v>
      </c>
      <c r="XR629" s="416" t="s">
        <v>2023</v>
      </c>
      <c r="XS629" s="284">
        <f>IF(XR629="Kopman",1.6,1)</f>
        <v>1.6</v>
      </c>
      <c r="XT629" s="204">
        <f>VLOOKUP(XQ629,$A$681:$F$2272,6,FALSE)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VLOOKUP(XZ629,$A$681:$F$2272,6,FALSE)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VLOOKUP(YI629,$A$681:$F$2272,6,FALSE)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VLOOKUP(YR629,$A$681:$F$2272,6,FALSE)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VLOOKUP(ZA629,$A$681:$F$2272,6,FALSE)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VLOOKUP(ZJ629,$A$681:$F$2272,6,FALSE)</f>
        <v>130</v>
      </c>
      <c r="ZN629" s="203" t="s">
        <v>61</v>
      </c>
      <c r="ZO629" s="10">
        <f>ZM629*1.5</f>
        <v>195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VLOOKUP(ZS629,$A$681:$F$2272,6,FALSE)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VLOOKUP(AAB629,$A$681:$F$2272,6,FALSE)</f>
        <v>48</v>
      </c>
      <c r="AAF629" s="203" t="s">
        <v>61</v>
      </c>
      <c r="AAG629" s="10">
        <f>AAE629*1.5*AAD629</f>
        <v>72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VLOOKUP(AAK629,$A$681:$F$2272,6,FALSE)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VLOOKUP(AAT629,$A$681:$F$2272,6,FALSE)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VLOOKUP(ABC629,$A$681:$F$2272,6,FALSE)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VLOOKUP(ABL629,$A$681:$F$2272,6,FALSE)</f>
        <v>48</v>
      </c>
      <c r="ABP629" s="203" t="s">
        <v>61</v>
      </c>
      <c r="ABQ629" s="10">
        <f>ABO629*1.5*ABN629</f>
        <v>72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VLOOKUP(ABU629,$A$681:$F$2272,6,FALSE)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VLOOKUP(ACD629,$A$681:$F$2272,6,FALSE)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VLOOKUP(ACM629,$A$681:$F$2272,6,FALSE)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VLOOKUP(ACV629,$A$681:$F$2272,6,FALSE)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VLOOKUP(ADE629,$A$681:$F$2272,6,FALSE)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VLOOKUP(ADN629,$A$681:$F$2272,6,FALSE)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VLOOKUP(ADW629,$A$681:$F$2272,6,FALSE)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VLOOKUP(AEF629,$A$681:$F$2272,6,FALSE)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VLOOKUP(AEO629,$A$681:$F$2272,6,FALSE)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VLOOKUP(AEX629,$A$681:$F$2272,6,FALSE)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VLOOKUP(AFG629,$A$681:$F$2272,6,FALSE)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VLOOKUP(AFP629,$A$681:$F$2272,6,FALSE)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VLOOKUP(AFY629,$A$681:$F$2272,6,FALSE)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VLOOKUP(AGH629,$A$681:$F$2272,6,FALSE)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VLOOKUP(AGQ629,$A$681:$F$2272,6,FALSE)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VLOOKUP(AGZ629,$A$681:$F$2272,6,FALSE)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VLOOKUP(AHI629,$A$681:$F$2272,6,FALSE)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VLOOKUP(AHR629,$A$681:$F$2272,6,FALSE)</f>
        <v>48</v>
      </c>
      <c r="AHV629" s="203" t="s">
        <v>61</v>
      </c>
      <c r="AHW629" s="10">
        <f>AHU629*1.5*AHT629</f>
        <v>72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VLOOKUP(AIA629,$A$681:$F$2272,6,FALSE)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VLOOKUP(AIJ629,$A$681:$F$2272,6,FALSE)</f>
        <v>46</v>
      </c>
      <c r="AIN629" s="203" t="s">
        <v>61</v>
      </c>
      <c r="AIO629" s="10">
        <f>AIM629*1.5*AIL629</f>
        <v>69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VLOOKUP(AIS629,$A$681:$F$2272,6,FALSE)</f>
        <v>130</v>
      </c>
      <c r="AIW629" s="203" t="s">
        <v>61</v>
      </c>
      <c r="AIX629" s="10">
        <f>AIV629*1.5*AIU629</f>
        <v>195</v>
      </c>
      <c r="AIY629" s="10"/>
      <c r="AIZ629" s="274"/>
      <c r="AJA629" s="203" t="s">
        <v>90</v>
      </c>
      <c r="AJB629" s="417" t="s">
        <v>1692</v>
      </c>
      <c r="AJC629" s="416" t="s">
        <v>2023</v>
      </c>
      <c r="AJD629" s="284">
        <f>IF(AJC629="Kopman",1.6,1)</f>
        <v>1.6</v>
      </c>
      <c r="AJE629" s="204">
        <f>VLOOKUP(AJB629,$A$681:$F$2272,6,FALSE)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VLOOKUP(AJK629,$A$681:$F$2272,6,FALSE)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VLOOKUP(AJT629,$A$681:$F$2272,6,FALSE)</f>
        <v>19</v>
      </c>
      <c r="AJX629" s="203" t="s">
        <v>61</v>
      </c>
      <c r="AJY629" s="10">
        <f>AJW629*1.5*AJV629</f>
        <v>28.5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VLOOKUP(AKC629,$A$681:$F$2272,6,FALSE)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VLOOKUP(AKL629,$A$681:$F$2272,6,FALSE)</f>
        <v>130</v>
      </c>
      <c r="AKP629" s="203" t="s">
        <v>61</v>
      </c>
      <c r="AKQ629" s="10">
        <f>AKO629*1.5*AKN629</f>
        <v>195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VLOOKUP(AKU629,$A$681:$F$2272,6,FALSE)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VLOOKUP(ALD629,$A$681:$F$2272,6,FALSE)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VLOOKUP(ALM629,$A$681:$F$2272,6,FALSE)</f>
        <v>48</v>
      </c>
      <c r="ALQ629" s="203" t="s">
        <v>61</v>
      </c>
      <c r="ALR629" s="10">
        <f>ALP629*1.5*ALO629</f>
        <v>72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VLOOKUP(ALV629,$A$681:$F$2272,6,FALSE)</f>
        <v>130</v>
      </c>
      <c r="ALZ629" s="203" t="s">
        <v>61</v>
      </c>
      <c r="AMA629" s="10">
        <f>ALY629*1.5*ALX629</f>
        <v>195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VLOOKUP(AME629,$A$681:$F$2272,6,FALSE)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VLOOKUP(AMN629,$A$681:$F$2272,6,FALSE)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2337</v>
      </c>
      <c r="AMY629" s="284">
        <f>IF(AMX629="Kopman",1.6,1)</f>
        <v>1</v>
      </c>
      <c r="AMZ629" s="204">
        <f>VLOOKUP(AMW629,$A$681:$F$2272,6,FALSE)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VLOOKUP(ANF629,$A$681:$F$2272,6,FALSE)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VLOOKUP(ANO629,$A$681:$F$2272,6,FALSE)</f>
        <v>109</v>
      </c>
      <c r="ANS629" s="203" t="s">
        <v>61</v>
      </c>
      <c r="ANT629" s="10">
        <f>ANR629*1.5*ANQ629</f>
        <v>163.5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VLOOKUP(ANX629,$A$681:$F$2272,6,FALSE)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2023</v>
      </c>
      <c r="AOI629" s="284">
        <f>IF(AOH629="Kopman",1.6,1)</f>
        <v>1.6</v>
      </c>
      <c r="AOJ629" s="204">
        <f>VLOOKUP(AOG629,$A$681:$F$2272,6,FALSE)</f>
        <v>130</v>
      </c>
      <c r="AOK629" s="203" t="s">
        <v>61</v>
      </c>
      <c r="AOL629" s="10">
        <f>AOJ629*1.5*AOI629</f>
        <v>312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VLOOKUP(AOP629,$A$681:$F$2272,6,FALSE)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VLOOKUP(AOY629,$A$681:$F$2272,6,FALSE)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2023</v>
      </c>
      <c r="APJ629" s="284">
        <f>IF(API629="Kopman",1.6,1)</f>
        <v>1.6</v>
      </c>
      <c r="APK629" s="204">
        <f>VLOOKUP(APH629,$A$681:$F$2272,6,FALSE)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VLOOKUP(APQ629,$A$681:$F$2272,6,FALSE)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VLOOKUP(APZ629,$A$681:$F$2272,6,FALSE)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2342</v>
      </c>
      <c r="D630" s="204"/>
      <c r="E630" s="204">
        <f>VLOOKUP(B630,$A$681:$F$2272,6,FALSE)</f>
        <v>94</v>
      </c>
      <c r="F630" s="203" t="s">
        <v>63</v>
      </c>
      <c r="G630" s="10">
        <f>E630*1.4</f>
        <v>131.6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VLOOKUP(K630,$A$681:$F$2272,6,FALSE)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VLOOKUP(T630,$A$681:$F$2272,6,FALSE)</f>
        <v>130</v>
      </c>
      <c r="X630" s="203" t="s">
        <v>63</v>
      </c>
      <c r="Y630" s="10">
        <f>W630*1.4</f>
        <v>182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VLOOKUP(AC630,$A$681:$F$2272,6,FALSE)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VLOOKUP(AL630,$A$681:$F$2272,6,FALSE)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VLOOKUP(AU630,$A$681:$F$2272,6,FALSE)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VLOOKUP(BD630,$A$681:$F$2272,6,FALSE)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2337</v>
      </c>
      <c r="BO630" s="204"/>
      <c r="BP630" s="204">
        <f>VLOOKUP(BM630,$A$681:$F$2272,6,FALSE)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VLOOKUP(BV630,$A$681:$F$2272,6,FALSE)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VLOOKUP(CE630,$A$681:$F$2272,6,FALSE)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VLOOKUP(CN630,$A$681:$F$2272,6,FALSE)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VLOOKUP(CW630,$A$681:$F$2272,6,FALSE)</f>
        <v>130</v>
      </c>
      <c r="DA630" s="203" t="s">
        <v>63</v>
      </c>
      <c r="DB630" s="10">
        <f>CZ630*1.4</f>
        <v>182</v>
      </c>
      <c r="DC630" s="10"/>
      <c r="DD630" s="268"/>
      <c r="DE630" s="203" t="s">
        <v>91</v>
      </c>
      <c r="DF630" s="277" t="s">
        <v>2337</v>
      </c>
      <c r="DH630" s="204"/>
      <c r="DI630" s="204">
        <f>VLOOKUP(DF630,$A$681:$F$2272,6,FALSE)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VLOOKUP(DO630,$A$681:$F$2272,6,FALSE)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VLOOKUP(DX630,$A$681:$F$2272,6,FALSE)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VLOOKUP(EG630,$A$681:$F$2272,6,FALSE)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VLOOKUP(EP630,$A$681:$F$2272,6,FALSE)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VLOOKUP(EY630,$A$681:$F$2272,6,FALSE)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VLOOKUP(FH630,$A$681:$F$2272,6,FALSE)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VLOOKUP(FQ630,$A$681:$F$2272,6,FALSE)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VLOOKUP(FZ630,$A$681:$F$2272,6,FALSE)</f>
        <v>130</v>
      </c>
      <c r="GD630" s="203" t="s">
        <v>63</v>
      </c>
      <c r="GE630" s="10">
        <f>GC630*1.4</f>
        <v>182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VLOOKUP(GI630,$A$681:$F$2272,6,FALSE)</f>
        <v>130</v>
      </c>
      <c r="GM630" s="203" t="s">
        <v>63</v>
      </c>
      <c r="GN630" s="10">
        <f>GL630*1.4</f>
        <v>182</v>
      </c>
      <c r="GO630" s="10"/>
      <c r="GP630" s="268"/>
      <c r="GQ630" s="203" t="s">
        <v>91</v>
      </c>
      <c r="GR630" s="277" t="s">
        <v>2337</v>
      </c>
      <c r="GT630" s="204"/>
      <c r="GU630" s="204">
        <f>VLOOKUP(GR630,$A$681:$F$2272,6,FALSE)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VLOOKUP(HA630,$A$681:$F$2272,6,FALSE)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VLOOKUP(HJ630,$A$681:$F$2272,6,FALSE)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VLOOKUP(HS630,$A$681:$F$2272,6,FALSE)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VLOOKUP(IB630,$A$681:$F$2272,6,FALSE)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VLOOKUP(IK630,$A$681:$F$2272,6,FALSE)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2337</v>
      </c>
      <c r="IV630" s="204"/>
      <c r="IW630" s="204">
        <f>VLOOKUP(IT630,$A$681:$F$2272,6,FALSE)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VLOOKUP(JC630,$A$681:$F$2272,6,FALSE)</f>
        <v>49</v>
      </c>
      <c r="JG630" s="203" t="s">
        <v>63</v>
      </c>
      <c r="JH630" s="10">
        <f>JF630*1.4</f>
        <v>68.599999999999994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VLOOKUP(JL630,$A$681:$F$2272,6,FALSE)</f>
        <v>49</v>
      </c>
      <c r="JP630" s="203" t="s">
        <v>63</v>
      </c>
      <c r="JQ630" s="10">
        <f>JO630*1.4</f>
        <v>68.599999999999994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VLOOKUP(JU630,$A$681:$F$2272,6,FALSE)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VLOOKUP(KD630,$A$681:$F$2272,6,FALSE)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VLOOKUP(KM630,$A$681:$F$2272,6,FALSE)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VLOOKUP(KV630,$A$681:$F$2272,6,FALSE)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VLOOKUP(LE630,$A$681:$F$2272,6,FALSE)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VLOOKUP(LN630,$A$681:$F$2272,6,FALSE)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VLOOKUP(LW630,$A$681:$F$2272,6,FALSE)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VLOOKUP(MF630,$A$681:$F$2272,6,FALSE)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VLOOKUP(MO630,$A$681:$F$2272,6,FALSE)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VLOOKUP(MX630,$A$681:$F$2272,6,FALSE)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VLOOKUP(NG630,$A$681:$F$2272,6,FALSE)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VLOOKUP(NP630,$A$681:$F$2272,6,FALSE)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VLOOKUP(NY630,$A$681:$F$2272,6,FALSE)</f>
        <v>48</v>
      </c>
      <c r="OC630" s="203" t="s">
        <v>63</v>
      </c>
      <c r="OD630" s="10">
        <f>OB630*1.4</f>
        <v>67.199999999999989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VLOOKUP(OH630,$A$681:$F$2272,6,FALSE)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VLOOKUP(OQ630,$A$681:$F$2272,6,FALSE)</f>
        <v>130</v>
      </c>
      <c r="OU630" s="203" t="s">
        <v>63</v>
      </c>
      <c r="OV630" s="10">
        <f>OT630*1.4</f>
        <v>182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VLOOKUP(OZ630,$A$681:$F$2272,6,FALSE)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VLOOKUP(PI630,$A$681:$F$2272,6,FALSE)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VLOOKUP(PR630,$A$681:$F$2272,6,FALSE)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VLOOKUP(QA630,$A$681:$F$2272,6,FALSE)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2337</v>
      </c>
      <c r="QL630" s="204"/>
      <c r="QM630" s="204">
        <f>VLOOKUP(QJ630,$A$681:$F$2272,6,FALSE)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2337</v>
      </c>
      <c r="QU630" s="204"/>
      <c r="QV630" s="204">
        <f>VLOOKUP(QS630,$A$681:$F$2272,6,FALSE)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VLOOKUP(RB630,$A$681:$F$2272,6,FALSE)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VLOOKUP(RK630,$A$681:$F$2272,6,FALSE)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VLOOKUP(RT630,$A$681:$F$2272,6,FALSE)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VLOOKUP(SC630,$A$681:$F$2272,6,FALSE)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VLOOKUP(SL630,$A$681:$F$2272,6,FALSE)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VLOOKUP(SU630,$A$681:$F$2272,6,FALSE)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VLOOKUP(TD630,$A$681:$F$2272,6,FALSE)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VLOOKUP(TM630,$A$681:$F$2272,6,FALSE)</f>
        <v>130</v>
      </c>
      <c r="TQ630" s="203" t="s">
        <v>63</v>
      </c>
      <c r="TR630" s="10">
        <f>TP630*1.4</f>
        <v>182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VLOOKUP(TV630,$A$681:$F$2272,6,FALSE)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VLOOKUP(UE630,$A$681:$F$2272,6,FALSE)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VLOOKUP(UN630,$A$681:$F$2272,6,FALSE)</f>
        <v>109</v>
      </c>
      <c r="UR630" s="203" t="s">
        <v>63</v>
      </c>
      <c r="US630" s="10">
        <f>UQ630*1.4</f>
        <v>152.6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VLOOKUP(UW630,$A$681:$F$2272,6,FALSE)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VLOOKUP(VF630,$A$681:$F$2272,6,FALSE)</f>
        <v>19</v>
      </c>
      <c r="VJ630" s="203" t="s">
        <v>63</v>
      </c>
      <c r="VK630" s="10">
        <f>VI630*1.4</f>
        <v>26.599999999999998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VLOOKUP(VO630,$A$681:$F$2272,6,FALSE)</f>
        <v>130</v>
      </c>
      <c r="VS630" s="203" t="s">
        <v>63</v>
      </c>
      <c r="VT630" s="10">
        <f>VR630*1.4</f>
        <v>182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VLOOKUP(VX630,$A$681:$F$2272,6,FALSE)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VLOOKUP(WG630,$A$681:$F$2272,6,FALSE)</f>
        <v>19</v>
      </c>
      <c r="WK630" s="203" t="s">
        <v>63</v>
      </c>
      <c r="WL630" s="10">
        <f>WJ630*1.4</f>
        <v>26.599999999999998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VLOOKUP(WP630,$A$681:$F$2272,6,FALSE)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VLOOKUP(WY630,$A$681:$F$2272,6,FALSE)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VLOOKUP(XH630,$A$681:$F$2272,6,FALSE)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691</v>
      </c>
      <c r="XS630" s="204"/>
      <c r="XT630" s="204">
        <f>VLOOKUP(XQ630,$A$681:$F$2272,6,FALSE)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VLOOKUP(XZ630,$A$681:$F$2272,6,FALSE)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VLOOKUP(YI630,$A$681:$F$2272,6,FALSE)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VLOOKUP(YR630,$A$681:$F$2272,6,FALSE)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2337</v>
      </c>
      <c r="ZC630" s="204"/>
      <c r="ZD630" s="204">
        <f>VLOOKUP(ZA630,$A$681:$F$2272,6,FALSE)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VLOOKUP(ZJ630,$A$681:$F$2272,6,FALSE)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489</v>
      </c>
      <c r="ZU630" s="204"/>
      <c r="ZV630" s="204">
        <f>VLOOKUP(ZS630,$A$681:$F$2272,6,FALSE)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VLOOKUP(AAB630,$A$681:$F$2272,6,FALSE)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VLOOKUP(AAK630,$A$681:$F$2272,6,FALSE)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VLOOKUP(AAT630,$A$681:$F$2272,6,FALSE)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VLOOKUP(ABC630,$A$681:$F$2272,6,FALSE)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VLOOKUP(ABL630,$A$681:$F$2272,6,FALSE)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VLOOKUP(ABU630,$A$681:$F$2272,6,FALSE)</f>
        <v>19</v>
      </c>
      <c r="ABY630" s="203" t="s">
        <v>63</v>
      </c>
      <c r="ABZ630" s="10">
        <f>ABX630*1.4</f>
        <v>26.599999999999998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VLOOKUP(ACD630,$A$681:$F$2272,6,FALSE)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VLOOKUP(ACM630,$A$681:$F$2272,6,FALSE)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VLOOKUP(ACV630,$A$681:$F$2272,6,FALSE)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VLOOKUP(ADE630,$A$681:$F$2272,6,FALSE)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VLOOKUP(ADN630,$A$681:$F$2272,6,FALSE)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VLOOKUP(ADW630,$A$681:$F$2272,6,FALSE)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VLOOKUP(AEF630,$A$681:$F$2272,6,FALSE)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VLOOKUP(AEO630,$A$681:$F$2272,6,FALSE)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VLOOKUP(AEX630,$A$681:$F$2272,6,FALSE)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VLOOKUP(AFG630,$A$681:$F$2272,6,FALSE)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VLOOKUP(AFP630,$A$681:$F$2272,6,FALSE)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VLOOKUP(AFY630,$A$681:$F$2272,6,FALSE)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VLOOKUP(AGH630,$A$681:$F$2272,6,FALSE)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VLOOKUP(AGQ630,$A$681:$F$2272,6,FALSE)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VLOOKUP(AGZ630,$A$681:$F$2272,6,FALSE)</f>
        <v>64</v>
      </c>
      <c r="AHD630" s="203" t="s">
        <v>63</v>
      </c>
      <c r="AHE630" s="10">
        <f>AHC630*1.4</f>
        <v>89.6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VLOOKUP(AHI630,$A$681:$F$2272,6,FALSE)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VLOOKUP(AHR630,$A$681:$F$2272,6,FALSE)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VLOOKUP(AIA630,$A$681:$F$2272,6,FALSE)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VLOOKUP(AIJ630,$A$681:$F$2272,6,FALSE)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VLOOKUP(AIS630,$A$681:$F$2272,6,FALSE)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VLOOKUP(AJB630,$A$681:$F$2272,6,FALSE)</f>
        <v>130</v>
      </c>
      <c r="AJF630" s="203" t="s">
        <v>63</v>
      </c>
      <c r="AJG630" s="10">
        <f>AJE630*1.4</f>
        <v>182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VLOOKUP(AJK630,$A$681:$F$2272,6,FALSE)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VLOOKUP(AJT630,$A$681:$F$2272,6,FALSE)</f>
        <v>49</v>
      </c>
      <c r="AJX630" s="203" t="s">
        <v>63</v>
      </c>
      <c r="AJY630" s="10">
        <f>AJW630*1.4</f>
        <v>68.599999999999994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VLOOKUP(AKC630,$A$681:$F$2272,6,FALSE)</f>
        <v>130</v>
      </c>
      <c r="AKG630" s="203" t="s">
        <v>63</v>
      </c>
      <c r="AKH630" s="10">
        <f>AKF630*1.4</f>
        <v>182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VLOOKUP(AKL630,$A$681:$F$2272,6,FALSE)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VLOOKUP(AKU630,$A$681:$F$2272,6,FALSE)</f>
        <v>130</v>
      </c>
      <c r="AKY630" s="203" t="s">
        <v>63</v>
      </c>
      <c r="AKZ630" s="10">
        <f>AKX630*1.4</f>
        <v>182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VLOOKUP(ALD630,$A$681:$F$2272,6,FALSE)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VLOOKUP(ALM630,$A$681:$F$2272,6,FALSE)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VLOOKUP(ALV630,$A$681:$F$2272,6,FALSE)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VLOOKUP(AME630,$A$681:$F$2272,6,FALSE)</f>
        <v>48</v>
      </c>
      <c r="AMI630" s="203" t="s">
        <v>63</v>
      </c>
      <c r="AMJ630" s="10">
        <f>AMH630*1.4</f>
        <v>67.199999999999989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VLOOKUP(AMN630,$A$681:$F$2272,6,FALSE)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VLOOKUP(AMW630,$A$681:$F$2272,6,FALSE)</f>
        <v>130</v>
      </c>
      <c r="ANA630" s="203" t="s">
        <v>63</v>
      </c>
      <c r="ANB630" s="10">
        <f>AMZ630*1.4</f>
        <v>182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VLOOKUP(ANF630,$A$681:$F$2272,6,FALSE)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VLOOKUP(ANO630,$A$681:$F$2272,6,FALSE)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VLOOKUP(ANX630,$A$681:$F$2272,6,FALSE)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VLOOKUP(AOG630,$A$681:$F$2272,6,FALSE)</f>
        <v>19</v>
      </c>
      <c r="AOK630" s="203" t="s">
        <v>63</v>
      </c>
      <c r="AOL630" s="10">
        <f>AOJ630*1.4</f>
        <v>26.599999999999998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VLOOKUP(AOP630,$A$681:$F$2272,6,FALSE)</f>
        <v>130</v>
      </c>
      <c r="AOT630" s="203" t="s">
        <v>63</v>
      </c>
      <c r="AOU630" s="10">
        <f>AOS630*1.4</f>
        <v>182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VLOOKUP(AOY630,$A$681:$F$2272,6,FALSE)</f>
        <v>130</v>
      </c>
      <c r="APC630" s="203" t="s">
        <v>63</v>
      </c>
      <c r="APD630" s="10">
        <f>APB630*1.4</f>
        <v>182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VLOOKUP(APH630,$A$681:$F$2272,6,FALSE)</f>
        <v>130</v>
      </c>
      <c r="APL630" s="203" t="s">
        <v>63</v>
      </c>
      <c r="APM630" s="10">
        <f>APK630*1.4</f>
        <v>182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VLOOKUP(APQ630,$A$681:$F$2272,6,FALSE)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VLOOKUP(APZ630,$A$681:$F$2272,6,FALSE)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VLOOKUP(B631,$A$681:$F$2272,6,FALSE)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VLOOKUP(K631,$A$681:$F$2272,6,FALSE)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VLOOKUP(T631,$A$681:$F$2272,6,FALSE)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VLOOKUP(AC631,$A$681:$F$2272,6,FALSE)</f>
        <v>130</v>
      </c>
      <c r="AG631" s="203" t="s">
        <v>65</v>
      </c>
      <c r="AH631" s="10">
        <f>AF631*1.3</f>
        <v>169</v>
      </c>
      <c r="AI631" s="10"/>
      <c r="AJ631" s="268"/>
      <c r="AK631" s="203" t="s">
        <v>92</v>
      </c>
      <c r="AL631" s="277" t="s">
        <v>2337</v>
      </c>
      <c r="AN631" s="204"/>
      <c r="AO631" s="204">
        <f>VLOOKUP(AL631,$A$681:$F$2272,6,FALSE)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VLOOKUP(AU631,$A$681:$F$2272,6,FALSE)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VLOOKUP(BD631,$A$681:$F$2272,6,FALSE)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VLOOKUP(BM631,$A$681:$F$2272,6,FALSE)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VLOOKUP(BV631,$A$681:$F$2272,6,FALSE)</f>
        <v>64</v>
      </c>
      <c r="BZ631" s="203" t="s">
        <v>65</v>
      </c>
      <c r="CA631" s="10">
        <f>BY631*1.3</f>
        <v>83.2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VLOOKUP(CE631,$A$681:$F$2272,6,FALSE)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VLOOKUP(CN631,$A$681:$F$2272,6,FALSE)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VLOOKUP(CW631,$A$681:$F$2272,6,FALSE)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VLOOKUP(DF631,$A$681:$F$2272,6,FALSE)</f>
        <v>130</v>
      </c>
      <c r="DJ631" s="203" t="s">
        <v>65</v>
      </c>
      <c r="DK631" s="10">
        <f>DI631*1.3</f>
        <v>169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VLOOKUP(DO631,$A$681:$F$2272,6,FALSE)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VLOOKUP(DX631,$A$681:$F$2272,6,FALSE)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VLOOKUP(EG631,$A$681:$F$2272,6,FALSE)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VLOOKUP(EP631,$A$681:$F$2272,6,FALSE)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VLOOKUP(EY631,$A$681:$F$2272,6,FALSE)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VLOOKUP(FH631,$A$681:$F$2272,6,FALSE)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2337</v>
      </c>
      <c r="FS631" s="204"/>
      <c r="FT631" s="204">
        <f>VLOOKUP(FQ631,$A$681:$F$2272,6,FALSE)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2337</v>
      </c>
      <c r="GB631" s="204"/>
      <c r="GC631" s="204">
        <f>VLOOKUP(FZ631,$A$681:$F$2272,6,FALSE)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VLOOKUP(GI631,$A$681:$F$2272,6,FALSE)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2342</v>
      </c>
      <c r="GT631" s="204"/>
      <c r="GU631" s="204">
        <f>VLOOKUP(GR631,$A$681:$F$2272,6,FALSE)</f>
        <v>94</v>
      </c>
      <c r="GV631" s="203" t="s">
        <v>65</v>
      </c>
      <c r="GW631" s="10">
        <f>GU631*1.3</f>
        <v>122.2</v>
      </c>
      <c r="GX631" s="10"/>
      <c r="GY631" s="268"/>
      <c r="GZ631" s="203" t="s">
        <v>92</v>
      </c>
      <c r="HA631" s="277" t="s">
        <v>1837</v>
      </c>
      <c r="HC631" s="204"/>
      <c r="HD631" s="204">
        <f>VLOOKUP(HA631,$A$681:$F$2272,6,FALSE)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VLOOKUP(HJ631,$A$681:$F$2272,6,FALSE)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VLOOKUP(HS631,$A$681:$F$2272,6,FALSE)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VLOOKUP(IB631,$A$681:$F$2272,6,FALSE)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VLOOKUP(IK631,$A$681:$F$2272,6,FALSE)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VLOOKUP(IT631,$A$681:$F$2272,6,FALSE)</f>
        <v>19</v>
      </c>
      <c r="IX631" s="203" t="s">
        <v>65</v>
      </c>
      <c r="IY631" s="10">
        <f>IW631*1.3</f>
        <v>24.7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VLOOKUP(JC631,$A$681:$F$2272,6,FALSE)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VLOOKUP(JL631,$A$681:$F$2272,6,FALSE)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VLOOKUP(JU631,$A$681:$F$2272,6,FALSE)</f>
        <v>130</v>
      </c>
      <c r="JY631" s="203" t="s">
        <v>65</v>
      </c>
      <c r="JZ631" s="10">
        <f>JX631*1.3</f>
        <v>169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VLOOKUP(KD631,$A$681:$F$2272,6,FALSE)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VLOOKUP(KM631,$A$681:$F$2272,6,FALSE)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VLOOKUP(KV631,$A$681:$F$2272,6,FALSE)</f>
        <v>130</v>
      </c>
      <c r="KZ631" s="203" t="s">
        <v>65</v>
      </c>
      <c r="LA631" s="10">
        <f>KY631*1.3</f>
        <v>169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VLOOKUP(LE631,$A$681:$F$2272,6,FALSE)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VLOOKUP(LN631,$A$681:$F$2272,6,FALSE)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VLOOKUP(LW631,$A$681:$F$2272,6,FALSE)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VLOOKUP(MF631,$A$681:$F$2272,6,FALSE)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VLOOKUP(MO631,$A$681:$F$2272,6,FALSE)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VLOOKUP(MX631,$A$681:$F$2272,6,FALSE)</f>
        <v>130</v>
      </c>
      <c r="NB631" s="203" t="s">
        <v>65</v>
      </c>
      <c r="NC631" s="10">
        <f>NA631*1.3</f>
        <v>169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VLOOKUP(NG631,$A$681:$F$2272,6,FALSE)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VLOOKUP(NP631,$A$681:$F$2272,6,FALSE)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VLOOKUP(NY631,$A$681:$F$2272,6,FALSE)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VLOOKUP(OH631,$A$681:$F$2272,6,FALSE)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VLOOKUP(OQ631,$A$681:$F$2272,6,FALSE)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2337</v>
      </c>
      <c r="PB631" s="204"/>
      <c r="PC631" s="204">
        <f>VLOOKUP(OZ631,$A$681:$F$2272,6,FALSE)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VLOOKUP(PI631,$A$681:$F$2272,6,FALSE)</f>
        <v>130</v>
      </c>
      <c r="PM631" s="203" t="s">
        <v>65</v>
      </c>
      <c r="PN631" s="10">
        <f>PL631*1.3</f>
        <v>169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VLOOKUP(PR631,$A$681:$F$2272,6,FALSE)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VLOOKUP(QA631,$A$681:$F$2272,6,FALSE)</f>
        <v>130</v>
      </c>
      <c r="QE631" s="203" t="s">
        <v>65</v>
      </c>
      <c r="QF631" s="10">
        <f>QD631*1.3</f>
        <v>169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VLOOKUP(QJ631,$A$681:$F$2272,6,FALSE)</f>
        <v>130</v>
      </c>
      <c r="QN631" s="203" t="s">
        <v>65</v>
      </c>
      <c r="QO631" s="10">
        <f>QM631*1.3</f>
        <v>169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VLOOKUP(QS631,$A$681:$F$2272,6,FALSE)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VLOOKUP(RB631,$A$681:$F$2272,6,FALSE)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VLOOKUP(RK631,$A$681:$F$2272,6,FALSE)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VLOOKUP(RT631,$A$681:$F$2272,6,FALSE)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VLOOKUP(SC631,$A$681:$F$2272,6,FALSE)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2337</v>
      </c>
      <c r="SN631" s="204"/>
      <c r="SO631" s="204">
        <f>VLOOKUP(SL631,$A$681:$F$2272,6,FALSE)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VLOOKUP(SU631,$A$681:$F$2272,6,FALSE)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VLOOKUP(TD631,$A$681:$F$2272,6,FALSE)</f>
        <v>130</v>
      </c>
      <c r="TH631" s="203" t="s">
        <v>65</v>
      </c>
      <c r="TI631" s="10">
        <f>TG631*1.3</f>
        <v>169</v>
      </c>
      <c r="TK631" s="274"/>
      <c r="TL631" s="203" t="s">
        <v>92</v>
      </c>
      <c r="TM631" s="277" t="s">
        <v>627</v>
      </c>
      <c r="TO631" s="204"/>
      <c r="TP631" s="204">
        <f>VLOOKUP(TM631,$A$681:$F$2272,6,FALSE)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VLOOKUP(TV631,$A$681:$F$2272,6,FALSE)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VLOOKUP(UE631,$A$681:$F$2272,6,FALSE)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VLOOKUP(UN631,$A$681:$F$2272,6,FALSE)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VLOOKUP(UW631,$A$681:$F$2272,6,FALSE)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2337</v>
      </c>
      <c r="VH631" s="204"/>
      <c r="VI631" s="204">
        <f>VLOOKUP(VF631,$A$681:$F$2272,6,FALSE)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VLOOKUP(VO631,$A$681:$F$2272,6,FALSE)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VLOOKUP(VX631,$A$681:$F$2272,6,FALSE)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VLOOKUP(WG631,$A$681:$F$2272,6,FALSE)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VLOOKUP(WP631,$A$681:$F$2272,6,FALSE)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VLOOKUP(WY631,$A$681:$F$2272,6,FALSE)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VLOOKUP(XH631,$A$681:$F$2272,6,FALSE)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VLOOKUP(XQ631,$A$681:$F$2272,6,FALSE)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VLOOKUP(XZ631,$A$681:$F$2272,6,FALSE)</f>
        <v>130</v>
      </c>
      <c r="YD631" s="203" t="s">
        <v>65</v>
      </c>
      <c r="YE631" s="10">
        <f>YC631*1.3</f>
        <v>169</v>
      </c>
      <c r="YG631" s="274"/>
      <c r="YH631" s="203" t="s">
        <v>92</v>
      </c>
      <c r="YI631" s="279" t="s">
        <v>183</v>
      </c>
      <c r="YK631" s="204"/>
      <c r="YL631" s="204" t="e">
        <f>VLOOKUP(YI631,$A$681:$F$2272,6,FALSE)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VLOOKUP(YR631,$A$681:$F$2272,6,FALSE)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VLOOKUP(ZA631,$A$681:$F$2272,6,FALSE)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VLOOKUP(ZJ631,$A$681:$F$2272,6,FALSE)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VLOOKUP(ZS631,$A$681:$F$2272,6,FALSE)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VLOOKUP(AAB631,$A$681:$F$2272,6,FALSE)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VLOOKUP(AAK631,$A$681:$F$2272,6,FALSE)</f>
        <v>130</v>
      </c>
      <c r="AAO631" s="203" t="s">
        <v>65</v>
      </c>
      <c r="AAP631" s="10">
        <f>AAN631*1.3</f>
        <v>169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VLOOKUP(AAT631,$A$681:$F$2272,6,FALSE)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VLOOKUP(ABC631,$A$681:$F$2272,6,FALSE)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VLOOKUP(ABL631,$A$681:$F$2272,6,FALSE)</f>
        <v>46</v>
      </c>
      <c r="ABP631" s="203" t="s">
        <v>65</v>
      </c>
      <c r="ABQ631" s="10">
        <f>ABO631*1.3</f>
        <v>59.800000000000004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VLOOKUP(ABU631,$A$681:$F$2272,6,FALSE)</f>
        <v>64</v>
      </c>
      <c r="ABY631" s="203" t="s">
        <v>65</v>
      </c>
      <c r="ABZ631" s="10">
        <f>ABX631*1.3</f>
        <v>83.2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VLOOKUP(ACD631,$A$681:$F$2272,6,FALSE)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VLOOKUP(ACM631,$A$681:$F$2272,6,FALSE)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VLOOKUP(ACV631,$A$681:$F$2272,6,FALSE)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VLOOKUP(ADE631,$A$681:$F$2272,6,FALSE)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VLOOKUP(ADN631,$A$681:$F$2272,6,FALSE)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VLOOKUP(ADW631,$A$681:$F$2272,6,FALSE)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VLOOKUP(AEF631,$A$681:$F$2272,6,FALSE)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VLOOKUP(AEO631,$A$681:$F$2272,6,FALSE)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VLOOKUP(AEX631,$A$681:$F$2272,6,FALSE)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VLOOKUP(AFG631,$A$681:$F$2272,6,FALSE)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VLOOKUP(AFP631,$A$681:$F$2272,6,FALSE)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VLOOKUP(AFY631,$A$681:$F$2272,6,FALSE)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VLOOKUP(AGH631,$A$681:$F$2272,6,FALSE)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VLOOKUP(AGQ631,$A$681:$F$2272,6,FALSE)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VLOOKUP(AGZ631,$A$681:$F$2272,6,FALSE)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VLOOKUP(AHI631,$A$681:$F$2272,6,FALSE)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VLOOKUP(AHR631,$A$681:$F$2272,6,FALSE)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VLOOKUP(AIA631,$A$681:$F$2272,6,FALSE)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VLOOKUP(AIJ631,$A$681:$F$2272,6,FALSE)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VLOOKUP(AIS631,$A$681:$F$2272,6,FALSE)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VLOOKUP(AJB631,$A$681:$F$2272,6,FALSE)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VLOOKUP(AJK631,$A$681:$F$2272,6,FALSE)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VLOOKUP(AJT631,$A$681:$F$2272,6,FALSE)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VLOOKUP(AKC631,$A$681:$F$2272,6,FALSE)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VLOOKUP(AKL631,$A$681:$F$2272,6,FALSE)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VLOOKUP(AKU631,$A$681:$F$2272,6,FALSE)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VLOOKUP(ALD631,$A$681:$F$2272,6,FALSE)</f>
        <v>130</v>
      </c>
      <c r="ALH631" s="203" t="s">
        <v>65</v>
      </c>
      <c r="ALI631" s="10">
        <f>ALG631*1.3</f>
        <v>169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VLOOKUP(ALM631,$A$681:$F$2272,6,FALSE)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VLOOKUP(ALV631,$A$681:$F$2272,6,FALSE)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VLOOKUP(AME631,$A$681:$F$2272,6,FALSE)</f>
        <v>53</v>
      </c>
      <c r="AMI631" s="203" t="s">
        <v>65</v>
      </c>
      <c r="AMJ631" s="10">
        <f>AMH631*1.3</f>
        <v>68.900000000000006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VLOOKUP(AMN631,$A$681:$F$2272,6,FALSE)</f>
        <v>46</v>
      </c>
      <c r="AMR631" s="203" t="s">
        <v>65</v>
      </c>
      <c r="AMS631" s="10">
        <f>AMQ631*1.3</f>
        <v>59.800000000000004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VLOOKUP(AMW631,$A$681:$F$2272,6,FALSE)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VLOOKUP(ANF631,$A$681:$F$2272,6,FALSE)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VLOOKUP(ANO631,$A$681:$F$2272,6,FALSE)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VLOOKUP(ANX631,$A$681:$F$2272,6,FALSE)</f>
        <v>64</v>
      </c>
      <c r="AOB631" s="203" t="s">
        <v>65</v>
      </c>
      <c r="AOC631" s="10">
        <f>AOA631*1.3</f>
        <v>83.2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VLOOKUP(AOG631,$A$681:$F$2272,6,FALSE)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VLOOKUP(AOP631,$A$681:$F$2272,6,FALSE)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VLOOKUP(AOY631,$A$681:$F$2272,6,FALSE)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VLOOKUP(APH631,$A$681:$F$2272,6,FALSE)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VLOOKUP(APQ631,$A$681:$F$2272,6,FALSE)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2337</v>
      </c>
      <c r="AQB631" s="204"/>
      <c r="AQC631" s="204">
        <f>VLOOKUP(APZ631,$A$681:$F$2272,6,FALSE)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VLOOKUP(B632,$A$681:$F$2272,6,FALSE)</f>
        <v>130</v>
      </c>
      <c r="F632" s="203" t="s">
        <v>67</v>
      </c>
      <c r="G632" s="10">
        <f>E632*1.2</f>
        <v>156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VLOOKUP(K632,$A$681:$F$2272,6,FALSE)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2337</v>
      </c>
      <c r="V632" s="204"/>
      <c r="W632" s="204">
        <f>VLOOKUP(T632,$A$681:$F$2272,6,FALSE)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VLOOKUP(AC632,$A$681:$F$2272,6,FALSE)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VLOOKUP(AL632,$A$681:$F$2272,6,FALSE)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2342</v>
      </c>
      <c r="AW632" s="204"/>
      <c r="AX632" s="204">
        <f>VLOOKUP(AU632,$A$681:$F$2272,6,FALSE)</f>
        <v>94</v>
      </c>
      <c r="AY632" s="203" t="s">
        <v>67</v>
      </c>
      <c r="AZ632" s="10">
        <f>AX632*1.2</f>
        <v>112.8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VLOOKUP(BD632,$A$681:$F$2272,6,FALSE)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VLOOKUP(BM632,$A$681:$F$2272,6,FALSE)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2342</v>
      </c>
      <c r="BX632" s="204"/>
      <c r="BY632" s="204">
        <f>VLOOKUP(BV632,$A$681:$F$2272,6,FALSE)</f>
        <v>94</v>
      </c>
      <c r="BZ632" s="203" t="s">
        <v>67</v>
      </c>
      <c r="CA632" s="10">
        <f>BY632*1.2</f>
        <v>112.8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VLOOKUP(CE632,$A$681:$F$2272,6,FALSE)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VLOOKUP(CN632,$A$681:$F$2272,6,FALSE)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2337</v>
      </c>
      <c r="CY632" s="204"/>
      <c r="CZ632" s="204">
        <f>VLOOKUP(CW632,$A$681:$F$2272,6,FALSE)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VLOOKUP(DF632,$A$681:$F$2272,6,FALSE)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VLOOKUP(DO632,$A$681:$F$2272,6,FALSE)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VLOOKUP(DX632,$A$681:$F$2272,6,FALSE)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VLOOKUP(EG632,$A$681:$F$2272,6,FALSE)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VLOOKUP(EP632,$A$681:$F$2272,6,FALSE)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VLOOKUP(EY632,$A$681:$F$2272,6,FALSE)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VLOOKUP(FH632,$A$681:$F$2272,6,FALSE)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2342</v>
      </c>
      <c r="FS632" s="204"/>
      <c r="FT632" s="204">
        <f>VLOOKUP(FQ632,$A$681:$F$2272,6,FALSE)</f>
        <v>94</v>
      </c>
      <c r="FU632" s="203" t="s">
        <v>67</v>
      </c>
      <c r="FV632" s="10">
        <f>FT632*1.2</f>
        <v>112.8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VLOOKUP(FZ632,$A$681:$F$2272,6,FALSE)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VLOOKUP(GI632,$A$681:$F$2272,6,FALSE)</f>
        <v>64</v>
      </c>
      <c r="GM632" s="203" t="s">
        <v>67</v>
      </c>
      <c r="GN632" s="10">
        <f>GL632*1.2</f>
        <v>76.8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VLOOKUP(GR632,$A$681:$F$2272,6,FALSE)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VLOOKUP(HA632,$A$681:$F$2272,6,FALSE)</f>
        <v>130</v>
      </c>
      <c r="HE632" s="203" t="s">
        <v>67</v>
      </c>
      <c r="HF632" s="10">
        <f>HD632*1.2</f>
        <v>156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VLOOKUP(HJ632,$A$681:$F$2272,6,FALSE)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VLOOKUP(HS632,$A$681:$F$2272,6,FALSE)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VLOOKUP(IB632,$A$681:$F$2272,6,FALSE)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VLOOKUP(IK632,$A$681:$F$2272,6,FALSE)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VLOOKUP(IT632,$A$681:$F$2272,6,FALSE)</f>
        <v>130</v>
      </c>
      <c r="IX632" s="203" t="s">
        <v>67</v>
      </c>
      <c r="IY632" s="10">
        <f>IW632*1.2</f>
        <v>156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VLOOKUP(JC632,$A$681:$F$2272,6,FALSE)</f>
        <v>130</v>
      </c>
      <c r="JG632" s="203" t="s">
        <v>67</v>
      </c>
      <c r="JH632" s="10">
        <f>JF632*1.2</f>
        <v>156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VLOOKUP(JL632,$A$681:$F$2272,6,FALSE)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2337</v>
      </c>
      <c r="JW632" s="204"/>
      <c r="JX632" s="204">
        <f>VLOOKUP(JU632,$A$681:$F$2272,6,FALSE)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VLOOKUP(KD632,$A$681:$F$2272,6,FALSE)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VLOOKUP(KM632,$A$681:$F$2272,6,FALSE)</f>
        <v>109</v>
      </c>
      <c r="KQ632" s="203" t="s">
        <v>67</v>
      </c>
      <c r="KR632" s="10">
        <f>KP632*1.2</f>
        <v>130.79999999999998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VLOOKUP(KV632,$A$681:$F$2272,6,FALSE)</f>
        <v>46</v>
      </c>
      <c r="KZ632" s="203" t="s">
        <v>67</v>
      </c>
      <c r="LA632" s="10">
        <f>KY632*1.2</f>
        <v>55.199999999999996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VLOOKUP(LE632,$A$681:$F$2272,6,FALSE)</f>
        <v>49</v>
      </c>
      <c r="LI632" s="203" t="s">
        <v>67</v>
      </c>
      <c r="LJ632" s="10">
        <f>LH632*1.2</f>
        <v>58.8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VLOOKUP(LN632,$A$681:$F$2272,6,FALSE)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VLOOKUP(LW632,$A$681:$F$2272,6,FALSE)</f>
        <v>130</v>
      </c>
      <c r="MA632" s="203" t="s">
        <v>67</v>
      </c>
      <c r="MB632" s="10">
        <f>LZ632*1.2</f>
        <v>156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VLOOKUP(MF632,$A$681:$F$2272,6,FALSE)</f>
        <v>130</v>
      </c>
      <c r="MJ632" s="203" t="s">
        <v>67</v>
      </c>
      <c r="MK632" s="10">
        <f>MI632*1.2</f>
        <v>156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VLOOKUP(MO632,$A$681:$F$2272,6,FALSE)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VLOOKUP(MX632,$A$681:$F$2272,6,FALSE)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VLOOKUP(NG632,$A$681:$F$2272,6,FALSE)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VLOOKUP(NP632,$A$681:$F$2272,6,FALSE)</f>
        <v>64</v>
      </c>
      <c r="NT632" s="203" t="s">
        <v>67</v>
      </c>
      <c r="NU632" s="10">
        <f>NS632*1.2</f>
        <v>76.8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VLOOKUP(NY632,$A$681:$F$2272,6,FALSE)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VLOOKUP(OH632,$A$681:$F$2272,6,FALSE)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VLOOKUP(OQ632,$A$681:$F$2272,6,FALSE)</f>
        <v>109</v>
      </c>
      <c r="OU632" s="203" t="s">
        <v>67</v>
      </c>
      <c r="OV632" s="10">
        <f>OT632*1.2</f>
        <v>130.79999999999998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VLOOKUP(OZ632,$A$681:$F$2272,6,FALSE)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VLOOKUP(PI632,$A$681:$F$2272,6,FALSE)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VLOOKUP(PR632,$A$681:$F$2272,6,FALSE)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VLOOKUP(QA632,$A$681:$F$2272,6,FALSE)</f>
        <v>64</v>
      </c>
      <c r="QE632" s="203" t="s">
        <v>67</v>
      </c>
      <c r="QF632" s="10">
        <f>QD632*1.2</f>
        <v>76.8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VLOOKUP(QJ632,$A$681:$F$2272,6,FALSE)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VLOOKUP(QS632,$A$681:$F$2272,6,FALSE)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VLOOKUP(RB632,$A$681:$F$2272,6,FALSE)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VLOOKUP(RK632,$A$681:$F$2272,6,FALSE)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VLOOKUP(RT632,$A$681:$F$2272,6,FALSE)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VLOOKUP(SC632,$A$681:$F$2272,6,FALSE)</f>
        <v>64</v>
      </c>
      <c r="SG632" s="203" t="s">
        <v>67</v>
      </c>
      <c r="SH632" s="10">
        <f>SF632*1.2</f>
        <v>76.8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VLOOKUP(SL632,$A$681:$F$2272,6,FALSE)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VLOOKUP(SU632,$A$681:$F$2272,6,FALSE)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VLOOKUP(TD632,$A$681:$F$2272,6,FALSE)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VLOOKUP(TM632,$A$681:$F$2272,6,FALSE)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1837</v>
      </c>
      <c r="TX632" s="204"/>
      <c r="TY632" s="204">
        <f>VLOOKUP(TV632,$A$681:$F$2272,6,FALSE)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VLOOKUP(UE632,$A$681:$F$2272,6,FALSE)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VLOOKUP(UN632,$A$681:$F$2272,6,FALSE)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VLOOKUP(UW632,$A$681:$F$2272,6,FALSE)</f>
        <v>109</v>
      </c>
      <c r="VA632" s="203" t="s">
        <v>67</v>
      </c>
      <c r="VB632" s="10">
        <f>UZ632*1.2</f>
        <v>130.79999999999998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VLOOKUP(VF632,$A$681:$F$2272,6,FALSE)</f>
        <v>130</v>
      </c>
      <c r="VJ632" s="203" t="s">
        <v>67</v>
      </c>
      <c r="VK632" s="10">
        <f>VI632*1.2</f>
        <v>156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VLOOKUP(VO632,$A$681:$F$2272,6,FALSE)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VLOOKUP(VX632,$A$681:$F$2272,6,FALSE)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VLOOKUP(WG632,$A$681:$F$2272,6,FALSE)</f>
        <v>48</v>
      </c>
      <c r="WK632" s="203" t="s">
        <v>67</v>
      </c>
      <c r="WL632" s="10">
        <f>WJ632*1.2</f>
        <v>57.599999999999994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VLOOKUP(WP632,$A$681:$F$2272,6,FALSE)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VLOOKUP(WY632,$A$681:$F$2272,6,FALSE)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VLOOKUP(XH632,$A$681:$F$2272,6,FALSE)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VLOOKUP(XQ632,$A$681:$F$2272,6,FALSE)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VLOOKUP(XZ632,$A$681:$F$2272,6,FALSE)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VLOOKUP(YI632,$A$681:$F$2272,6,FALSE)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VLOOKUP(YR632,$A$681:$F$2272,6,FALSE)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VLOOKUP(ZA632,$A$681:$F$2272,6,FALSE)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VLOOKUP(ZJ632,$A$681:$F$2272,6,FALSE)</f>
        <v>49</v>
      </c>
      <c r="ZN632" s="203" t="s">
        <v>67</v>
      </c>
      <c r="ZO632" s="10">
        <f>ZM632*1.2</f>
        <v>58.8</v>
      </c>
      <c r="ZQ632" s="274"/>
      <c r="ZR632" s="203" t="s">
        <v>93</v>
      </c>
      <c r="ZS632" s="277" t="s">
        <v>578</v>
      </c>
      <c r="ZU632" s="204"/>
      <c r="ZV632" s="204">
        <f>VLOOKUP(ZS632,$A$681:$F$2272,6,FALSE)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VLOOKUP(AAB632,$A$681:$F$2272,6,FALSE)</f>
        <v>130</v>
      </c>
      <c r="AAF632" s="203" t="s">
        <v>67</v>
      </c>
      <c r="AAG632" s="10">
        <f>AAE632*1.2</f>
        <v>156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VLOOKUP(AAK632,$A$681:$F$2272,6,FALSE)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VLOOKUP(AAT632,$A$681:$F$2272,6,FALSE)</f>
        <v>130</v>
      </c>
      <c r="AAX632" s="203" t="s">
        <v>67</v>
      </c>
      <c r="AAY632" s="10">
        <f>AAW632*1.2</f>
        <v>156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VLOOKUP(ABC632,$A$681:$F$2272,6,FALSE)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VLOOKUP(ABL632,$A$681:$F$2272,6,FALSE)</f>
        <v>49</v>
      </c>
      <c r="ABP632" s="203" t="s">
        <v>67</v>
      </c>
      <c r="ABQ632" s="10">
        <f>ABO632*1.2</f>
        <v>58.8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VLOOKUP(ABU632,$A$681:$F$2272,6,FALSE)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VLOOKUP(ACD632,$A$681:$F$2272,6,FALSE)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VLOOKUP(ACM632,$A$681:$F$2272,6,FALSE)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VLOOKUP(ACV632,$A$681:$F$2272,6,FALSE)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VLOOKUP(ADE632,$A$681:$F$2272,6,FALSE)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VLOOKUP(ADN632,$A$681:$F$2272,6,FALSE)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VLOOKUP(ADW632,$A$681:$F$2272,6,FALSE)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VLOOKUP(AEF632,$A$681:$F$2272,6,FALSE)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VLOOKUP(AEO632,$A$681:$F$2272,6,FALSE)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VLOOKUP(AEX632,$A$681:$F$2272,6,FALSE)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VLOOKUP(AFG632,$A$681:$F$2272,6,FALSE)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VLOOKUP(AFP632,$A$681:$F$2272,6,FALSE)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VLOOKUP(AFY632,$A$681:$F$2272,6,FALSE)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VLOOKUP(AGH632,$A$681:$F$2272,6,FALSE)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VLOOKUP(AGQ632,$A$681:$F$2272,6,FALSE)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VLOOKUP(AGZ632,$A$681:$F$2272,6,FALSE)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VLOOKUP(AHI632,$A$681:$F$2272,6,FALSE)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2337</v>
      </c>
      <c r="AHT632" s="204"/>
      <c r="AHU632" s="204">
        <f>VLOOKUP(AHR632,$A$681:$F$2272,6,FALSE)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VLOOKUP(AIA632,$A$681:$F$2272,6,FALSE)</f>
        <v>130</v>
      </c>
      <c r="AIE632" s="203" t="s">
        <v>67</v>
      </c>
      <c r="AIF632" s="10">
        <f>AID632*1.2</f>
        <v>156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VLOOKUP(AIJ632,$A$681:$F$2272,6,FALSE)</f>
        <v>130</v>
      </c>
      <c r="AIN632" s="203" t="s">
        <v>67</v>
      </c>
      <c r="AIO632" s="10">
        <f>AIM632*1.2</f>
        <v>156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VLOOKUP(AIS632,$A$681:$F$2272,6,FALSE)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VLOOKUP(AJB632,$A$681:$F$2272,6,FALSE)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VLOOKUP(AJK632,$A$681:$F$2272,6,FALSE)</f>
        <v>130</v>
      </c>
      <c r="AJO632" s="203" t="s">
        <v>67</v>
      </c>
      <c r="AJP632" s="10">
        <f>AJN632*1.2</f>
        <v>156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VLOOKUP(AJT632,$A$681:$F$2272,6,FALSE)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VLOOKUP(AKC632,$A$681:$F$2272,6,FALSE)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VLOOKUP(AKL632,$A$681:$F$2272,6,FALSE)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VLOOKUP(AKU632,$A$681:$F$2272,6,FALSE)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VLOOKUP(ALD632,$A$681:$F$2272,6,FALSE)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VLOOKUP(ALM632,$A$681:$F$2272,6,FALSE)</f>
        <v>130</v>
      </c>
      <c r="ALQ632" s="203" t="s">
        <v>67</v>
      </c>
      <c r="ALR632" s="10">
        <f>ALP632*1.2</f>
        <v>156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VLOOKUP(ALV632,$A$681:$F$2272,6,FALSE)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VLOOKUP(AME632,$A$681:$F$2272,6,FALSE)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VLOOKUP(AMN632,$A$681:$F$2272,6,FALSE)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VLOOKUP(AMW632,$A$681:$F$2272,6,FALSE)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VLOOKUP(ANF632,$A$681:$F$2272,6,FALSE)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VLOOKUP(ANO632,$A$681:$F$2272,6,FALSE)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VLOOKUP(ANX632,$A$681:$F$2272,6,FALSE)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VLOOKUP(AOG632,$A$681:$F$2272,6,FALSE)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2337</v>
      </c>
      <c r="AOR632" s="204"/>
      <c r="AOS632" s="204">
        <f>VLOOKUP(AOP632,$A$681:$F$2272,6,FALSE)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VLOOKUP(AOY632,$A$681:$F$2272,6,FALSE)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VLOOKUP(APH632,$A$681:$F$2272,6,FALSE)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VLOOKUP(APQ632,$A$681:$F$2272,6,FALSE)</f>
        <v>109</v>
      </c>
      <c r="APU632" s="203" t="s">
        <v>67</v>
      </c>
      <c r="APV632" s="10">
        <f>APT632*1.2</f>
        <v>130.79999999999998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VLOOKUP(APZ632,$A$681:$F$2272,6,FALSE)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VLOOKUP(B633,$A$681:$F$2272,6,FALSE)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VLOOKUP(K633,$A$681:$F$2272,6,FALSE)</f>
        <v>130</v>
      </c>
      <c r="O633" s="203" t="s">
        <v>69</v>
      </c>
      <c r="P633" s="10">
        <f>N633*1.1</f>
        <v>143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VLOOKUP(T633,$A$681:$F$2272,6,FALSE)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VLOOKUP(AC633,$A$681:$F$2272,6,FALSE)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VLOOKUP(AL633,$A$681:$F$2272,6,FALSE)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VLOOKUP(AU633,$A$681:$F$2272,6,FALSE)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VLOOKUP(BD633,$A$681:$F$2272,6,FALSE)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VLOOKUP(BM633,$A$681:$F$2272,6,FALSE)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2337</v>
      </c>
      <c r="BX633" s="204"/>
      <c r="BY633" s="204">
        <f>VLOOKUP(BV633,$A$681:$F$2272,6,FALSE)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VLOOKUP(CE633,$A$681:$F$2272,6,FALSE)</f>
        <v>48</v>
      </c>
      <c r="CI633" s="203" t="s">
        <v>69</v>
      </c>
      <c r="CJ633" s="10">
        <f>CH633*1.1</f>
        <v>52.800000000000004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VLOOKUP(CN633,$A$681:$F$2272,6,FALSE)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VLOOKUP(CW633,$A$681:$F$2272,6,FALSE)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VLOOKUP(DF633,$A$681:$F$2272,6,FALSE)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VLOOKUP(DO633,$A$681:$F$2272,6,FALSE)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VLOOKUP(DX633,$A$681:$F$2272,6,FALSE)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VLOOKUP(EG633,$A$681:$F$2272,6,FALSE)</f>
        <v>49</v>
      </c>
      <c r="EK633" s="203" t="s">
        <v>69</v>
      </c>
      <c r="EL633" s="10">
        <f>EJ633*1.1</f>
        <v>53.900000000000006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VLOOKUP(EP633,$A$681:$F$2272,6,FALSE)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2342</v>
      </c>
      <c r="FA633" s="204"/>
      <c r="FB633" s="204">
        <f>VLOOKUP(EY633,$A$681:$F$2272,6,FALSE)</f>
        <v>94</v>
      </c>
      <c r="FC633" s="203" t="s">
        <v>69</v>
      </c>
      <c r="FD633" s="10">
        <f>FB633*1.1</f>
        <v>103.4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VLOOKUP(FH633,$A$681:$F$2272,6,FALSE)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VLOOKUP(FQ633,$A$681:$F$2272,6,FALSE)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VLOOKUP(FZ633,$A$681:$F$2272,6,FALSE)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VLOOKUP(GI633,$A$681:$F$2272,6,FALSE)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VLOOKUP(GR633,$A$681:$F$2272,6,FALSE)</f>
        <v>64</v>
      </c>
      <c r="GV633" s="203" t="s">
        <v>69</v>
      </c>
      <c r="GW633" s="10">
        <f>GU633*1.1</f>
        <v>70.400000000000006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VLOOKUP(HA633,$A$681:$F$2272,6,FALSE)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VLOOKUP(HJ633,$A$681:$F$2272,6,FALSE)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VLOOKUP(HS633,$A$681:$F$2272,6,FALSE)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VLOOKUP(IB633,$A$681:$F$2272,6,FALSE)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VLOOKUP(IK633,$A$681:$F$2272,6,FALSE)</f>
        <v>109</v>
      </c>
      <c r="IO633" s="203" t="s">
        <v>69</v>
      </c>
      <c r="IP633" s="10">
        <f>IN633*1.1</f>
        <v>119.9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VLOOKUP(IT633,$A$681:$F$2272,6,FALSE)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VLOOKUP(JC633,$A$681:$F$2272,6,FALSE)</f>
        <v>64</v>
      </c>
      <c r="JG633" s="203" t="s">
        <v>69</v>
      </c>
      <c r="JH633" s="10">
        <f>JF633*1.1</f>
        <v>70.400000000000006</v>
      </c>
      <c r="JI633" s="10"/>
      <c r="JJ633" s="268"/>
      <c r="JK633" s="203" t="s">
        <v>94</v>
      </c>
      <c r="JL633" s="277" t="s">
        <v>2342</v>
      </c>
      <c r="JN633" s="204"/>
      <c r="JO633" s="204">
        <f>VLOOKUP(JL633,$A$681:$F$2272,6,FALSE)</f>
        <v>94</v>
      </c>
      <c r="JP633" s="203" t="s">
        <v>69</v>
      </c>
      <c r="JQ633" s="10">
        <f>JO633*1.1</f>
        <v>103.4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VLOOKUP(JU633,$A$681:$F$2272,6,FALSE)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VLOOKUP(KD633,$A$681:$F$2272,6,FALSE)</f>
        <v>64</v>
      </c>
      <c r="KH633" s="203" t="s">
        <v>69</v>
      </c>
      <c r="KI633" s="10">
        <f>KG633*1.1</f>
        <v>70.400000000000006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VLOOKUP(KM633,$A$681:$F$2272,6,FALSE)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VLOOKUP(KV633,$A$681:$F$2272,6,FALSE)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VLOOKUP(LE633,$A$681:$F$2272,6,FALSE)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VLOOKUP(LN633,$A$681:$F$2272,6,FALSE)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2337</v>
      </c>
      <c r="LY633" s="204"/>
      <c r="LZ633" s="204">
        <f>VLOOKUP(LW633,$A$681:$F$2272,6,FALSE)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2337</v>
      </c>
      <c r="MH633" s="204"/>
      <c r="MI633" s="204">
        <f>VLOOKUP(MF633,$A$681:$F$2272,6,FALSE)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VLOOKUP(MO633,$A$681:$F$2272,6,FALSE)</f>
        <v>130</v>
      </c>
      <c r="MS633" s="203" t="s">
        <v>69</v>
      </c>
      <c r="MT633" s="10">
        <f>MR633*1.1</f>
        <v>143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VLOOKUP(MX633,$A$681:$F$2272,6,FALSE)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VLOOKUP(NG633,$A$681:$F$2272,6,FALSE)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VLOOKUP(NP633,$A$681:$F$2272,6,FALSE)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VLOOKUP(NY633,$A$681:$F$2272,6,FALSE)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VLOOKUP(OH633,$A$681:$F$2272,6,FALSE)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VLOOKUP(OQ633,$A$681:$F$2272,6,FALSE)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VLOOKUP(OZ633,$A$681:$F$2272,6,FALSE)</f>
        <v>109</v>
      </c>
      <c r="PD633" s="203" t="s">
        <v>69</v>
      </c>
      <c r="PE633" s="10">
        <f>PC633*1.1</f>
        <v>119.9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VLOOKUP(PI633,$A$681:$F$2272,6,FALSE)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VLOOKUP(PR633,$A$681:$F$2272,6,FALSE)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VLOOKUP(QA633,$A$681:$F$2272,6,FALSE)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VLOOKUP(QJ633,$A$681:$F$2272,6,FALSE)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VLOOKUP(QS633,$A$681:$F$2272,6,FALSE)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VLOOKUP(RB633,$A$681:$F$2272,6,FALSE)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VLOOKUP(RK633,$A$681:$F$2272,6,FALSE)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VLOOKUP(RT633,$A$681:$F$2272,6,FALSE)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VLOOKUP(SC633,$A$681:$F$2272,6,FALSE)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VLOOKUP(SL633,$A$681:$F$2272,6,FALSE)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VLOOKUP(SU633,$A$681:$F$2272,6,FALSE)</f>
        <v>64</v>
      </c>
      <c r="SY633" s="203" t="s">
        <v>69</v>
      </c>
      <c r="SZ633" s="10">
        <f>SX633*1.1</f>
        <v>70.400000000000006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VLOOKUP(TD633,$A$681:$F$2272,6,FALSE)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VLOOKUP(TM633,$A$681:$F$2272,6,FALSE)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VLOOKUP(TV633,$A$681:$F$2272,6,FALSE)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VLOOKUP(UE633,$A$681:$F$2272,6,FALSE)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VLOOKUP(UN633,$A$681:$F$2272,6,FALSE)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VLOOKUP(UW633,$A$681:$F$2272,6,FALSE)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VLOOKUP(VF633,$A$681:$F$2272,6,FALSE)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VLOOKUP(VO633,$A$681:$F$2272,6,FALSE)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VLOOKUP(VX633,$A$681:$F$2272,6,FALSE)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VLOOKUP(WG633,$A$681:$F$2272,6,FALSE)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VLOOKUP(WP633,$A$681:$F$2272,6,FALSE)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VLOOKUP(WY633,$A$681:$F$2272,6,FALSE)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2342</v>
      </c>
      <c r="XJ633" s="204"/>
      <c r="XK633" s="204">
        <f>VLOOKUP(XH633,$A$681:$F$2272,6,FALSE)</f>
        <v>94</v>
      </c>
      <c r="XL633" s="203" t="s">
        <v>69</v>
      </c>
      <c r="XM633" s="10">
        <f>XK633*1.1</f>
        <v>103.4</v>
      </c>
      <c r="XO633" s="274"/>
      <c r="XP633" s="203" t="s">
        <v>94</v>
      </c>
      <c r="XQ633" s="277" t="s">
        <v>834</v>
      </c>
      <c r="XS633" s="204"/>
      <c r="XT633" s="204">
        <f>VLOOKUP(XQ633,$A$681:$F$2272,6,FALSE)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VLOOKUP(XZ633,$A$681:$F$2272,6,FALSE)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VLOOKUP(YI633,$A$681:$F$2272,6,FALSE)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VLOOKUP(YR633,$A$681:$F$2272,6,FALSE)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VLOOKUP(ZA633,$A$681:$F$2272,6,FALSE)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VLOOKUP(ZJ633,$A$681:$F$2272,6,FALSE)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678</v>
      </c>
      <c r="ZU633" s="204"/>
      <c r="ZV633" s="204">
        <f>VLOOKUP(ZS633,$A$681:$F$2272,6,FALSE)</f>
        <v>53</v>
      </c>
      <c r="ZW633" s="203" t="s">
        <v>69</v>
      </c>
      <c r="ZX633" s="10">
        <f>ZV633*1.1</f>
        <v>58.300000000000004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VLOOKUP(AAB633,$A$681:$F$2272,6,FALSE)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1837</v>
      </c>
      <c r="AAM633" s="204"/>
      <c r="AAN633" s="204">
        <f>VLOOKUP(AAK633,$A$681:$F$2272,6,FALSE)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VLOOKUP(AAT633,$A$681:$F$2272,6,FALSE)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VLOOKUP(ABC633,$A$681:$F$2272,6,FALSE)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VLOOKUP(ABL633,$A$681:$F$2272,6,FALSE)</f>
        <v>130</v>
      </c>
      <c r="ABP633" s="203" t="s">
        <v>69</v>
      </c>
      <c r="ABQ633" s="10">
        <f>ABO633*1.1</f>
        <v>143</v>
      </c>
      <c r="ABR633" s="10"/>
      <c r="ABS633" s="274"/>
      <c r="ABT633" s="203" t="s">
        <v>94</v>
      </c>
      <c r="ABU633" s="277" t="s">
        <v>2337</v>
      </c>
      <c r="ABW633" s="204"/>
      <c r="ABX633" s="204">
        <f>VLOOKUP(ABU633,$A$681:$F$2272,6,FALSE)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VLOOKUP(ACD633,$A$681:$F$2272,6,FALSE)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VLOOKUP(ACM633,$A$681:$F$2272,6,FALSE)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VLOOKUP(ACV633,$A$681:$F$2272,6,FALSE)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VLOOKUP(ADE633,$A$681:$F$2272,6,FALSE)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VLOOKUP(ADN633,$A$681:$F$2272,6,FALSE)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VLOOKUP(ADW633,$A$681:$F$2272,6,FALSE)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VLOOKUP(AEF633,$A$681:$F$2272,6,FALSE)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VLOOKUP(AEO633,$A$681:$F$2272,6,FALSE)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VLOOKUP(AEX633,$A$681:$F$2272,6,FALSE)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VLOOKUP(AFG633,$A$681:$F$2272,6,FALSE)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VLOOKUP(AFP633,$A$681:$F$2272,6,FALSE)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VLOOKUP(AFY633,$A$681:$F$2272,6,FALSE)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VLOOKUP(AGH633,$A$681:$F$2272,6,FALSE)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VLOOKUP(AGQ633,$A$681:$F$2272,6,FALSE)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VLOOKUP(AGZ633,$A$681:$F$2272,6,FALSE)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VLOOKUP(AHI633,$A$681:$F$2272,6,FALSE)</f>
        <v>130</v>
      </c>
      <c r="AHM633" s="203" t="s">
        <v>69</v>
      </c>
      <c r="AHN633" s="10">
        <f>AHL633*1.1</f>
        <v>143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VLOOKUP(AHR633,$A$681:$F$2272,6,FALSE)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VLOOKUP(AIA633,$A$681:$F$2272,6,FALSE)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VLOOKUP(AIJ633,$A$681:$F$2272,6,FALSE)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VLOOKUP(AIS633,$A$681:$F$2272,6,FALSE)</f>
        <v>48</v>
      </c>
      <c r="AIW633" s="203" t="s">
        <v>69</v>
      </c>
      <c r="AIX633" s="10">
        <f>AIV633*1.1</f>
        <v>52.800000000000004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VLOOKUP(AJB633,$A$681:$F$2272,6,FALSE)</f>
        <v>49</v>
      </c>
      <c r="AJF633" s="203" t="s">
        <v>69</v>
      </c>
      <c r="AJG633" s="10">
        <f>AJE633*1.1</f>
        <v>53.900000000000006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VLOOKUP(AJK633,$A$681:$F$2272,6,FALSE)</f>
        <v>109</v>
      </c>
      <c r="AJO633" s="203" t="s">
        <v>69</v>
      </c>
      <c r="AJP633" s="10">
        <f>AJN633*1.1</f>
        <v>119.9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VLOOKUP(AJT633,$A$681:$F$2272,6,FALSE)</f>
        <v>53</v>
      </c>
      <c r="AJX633" s="203" t="s">
        <v>69</v>
      </c>
      <c r="AJY633" s="10">
        <f>AJW633*1.1</f>
        <v>58.300000000000004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VLOOKUP(AKC633,$A$681:$F$2272,6,FALSE)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VLOOKUP(AKL633,$A$681:$F$2272,6,FALSE)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VLOOKUP(AKU633,$A$681:$F$2272,6,FALSE)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VLOOKUP(ALD633,$A$681:$F$2272,6,FALSE)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VLOOKUP(ALM633,$A$681:$F$2272,6,FALSE)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VLOOKUP(ALV633,$A$681:$F$2272,6,FALSE)</f>
        <v>46</v>
      </c>
      <c r="ALZ633" s="203" t="s">
        <v>69</v>
      </c>
      <c r="AMA633" s="10">
        <f>ALY633*1.1</f>
        <v>50.6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VLOOKUP(AME633,$A$681:$F$2272,6,FALSE)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VLOOKUP(AMN633,$A$681:$F$2272,6,FALSE)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VLOOKUP(AMW633,$A$681:$F$2272,6,FALSE)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VLOOKUP(ANF633,$A$681:$F$2272,6,FALSE)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VLOOKUP(ANO633,$A$681:$F$2272,6,FALSE)</f>
        <v>130</v>
      </c>
      <c r="ANS633" s="203" t="s">
        <v>69</v>
      </c>
      <c r="ANT633" s="10">
        <f>ANR633*1.1</f>
        <v>143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VLOOKUP(ANX633,$A$681:$F$2272,6,FALSE)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VLOOKUP(AOG633,$A$681:$F$2272,6,FALSE)</f>
        <v>48</v>
      </c>
      <c r="AOK633" s="203" t="s">
        <v>69</v>
      </c>
      <c r="AOL633" s="10">
        <f>AOJ633*1.1</f>
        <v>52.800000000000004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VLOOKUP(AOP633,$A$681:$F$2272,6,FALSE)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VLOOKUP(AOY633,$A$681:$F$2272,6,FALSE)</f>
        <v>109</v>
      </c>
      <c r="APC633" s="203" t="s">
        <v>69</v>
      </c>
      <c r="APD633" s="10">
        <f>APB633*1.1</f>
        <v>119.9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VLOOKUP(APH633,$A$681:$F$2272,6,FALSE)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VLOOKUP(APQ633,$A$681:$F$2272,6,FALSE)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VLOOKUP(APZ633,$A$681:$F$2272,6,FALSE)</f>
        <v>46</v>
      </c>
      <c r="AQD633" s="203" t="s">
        <v>69</v>
      </c>
      <c r="AQE633" s="10">
        <f>AQC633*1.1</f>
        <v>50.6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644.30000000000007</v>
      </c>
      <c r="I634" s="268"/>
      <c r="J634" s="203"/>
      <c r="K634" s="415"/>
      <c r="M634" s="203"/>
      <c r="N634" s="203"/>
      <c r="O634" s="203"/>
      <c r="P634" s="10"/>
      <c r="Q634" s="10">
        <f>SUM(P629:P633)</f>
        <v>598.40000000000009</v>
      </c>
      <c r="R634" s="268"/>
      <c r="S634" s="203"/>
      <c r="T634" s="265"/>
      <c r="V634" s="203"/>
      <c r="W634" s="203"/>
      <c r="X634" s="203"/>
      <c r="Y634" s="10"/>
      <c r="Z634" s="10">
        <f>SUM(Y629:Y633)</f>
        <v>564.20000000000005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691.30000000000007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605.9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481.4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457.1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455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513.5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605.9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399.8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667.90000000000009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533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409.9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362.20000000000005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539.5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516.9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470.3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635.5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774.30000000000007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469.8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615.29999999999995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557.6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468.9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357.1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501.9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486.99999999999994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410.1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497.1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549.9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506.9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578.19999999999993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353.9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267.89999999999998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671.19999999999993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364.5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628.9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335.2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475.5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424.8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193.5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300.8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395.3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385.5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862.9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583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496.1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518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560.79999999999995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588.4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506.8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550.70000000000005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265.3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394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620.9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364.2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243.3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313.89999999999998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491.7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902.4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223.5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528.20000000000005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657.7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565.20000000000005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444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530.29999999999995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292.7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320.5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319.70000000000005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183.6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374.2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358.80000000000007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254.79999999999998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485.4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408.79999999999995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599.5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382.7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583.09999999999991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660.69999999999993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717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365.40000000000003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470.09999999999997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485.20000000000005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492.59999999999997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419.8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324.7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382.20000000000005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549.30000000000007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165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581.5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516.9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341.3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236.4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403.1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726.1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402.70000000000005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565.90000000000009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407.6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599.20000000000005</v>
      </c>
      <c r="AQG634" s="274"/>
    </row>
    <row r="635" spans="1:1125" s="14" customFormat="1" ht="15">
      <c r="A635" s="203" t="s">
        <v>95</v>
      </c>
      <c r="B635" s="277" t="s">
        <v>2524</v>
      </c>
      <c r="D635" s="284">
        <f>IF(C635="Kopman",1.7,1)</f>
        <v>1</v>
      </c>
      <c r="E635" s="204">
        <f>VLOOKUP(B635,$A$681:$F$2272,6,FALSE)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2091</v>
      </c>
      <c r="M635" s="284">
        <f>IF(L635="Kopman",1.7,1)</f>
        <v>1</v>
      </c>
      <c r="N635" s="204">
        <f>VLOOKUP(K635,$A$681:$F$2272,6,FALSE)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VLOOKUP(T635,$A$681:$F$2272,6,FALSE)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VLOOKUP(AC635,$A$681:$F$2272,6,FALSE)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VLOOKUP(AL635,$A$681:$F$2272,6,FALSE)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VLOOKUP(AU635,$A$681:$F$2272,6,FALSE)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VLOOKUP(BD635,$A$681:$F$2272,6,FALSE)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VLOOKUP(BM635,$A$681:$F$2272,6,FALSE)</f>
        <v>80</v>
      </c>
      <c r="BQ635" s="203" t="s">
        <v>61</v>
      </c>
      <c r="BR635" s="10">
        <f>BP635*1.5*BO635</f>
        <v>120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VLOOKUP(BV635,$A$681:$F$2272,6,FALSE)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2091</v>
      </c>
      <c r="CG635" s="284">
        <f>IF(CF635="Kopman",1.7,1)</f>
        <v>1</v>
      </c>
      <c r="CH635" s="204">
        <f>VLOOKUP(CE635,$A$681:$F$2272,6,FALSE)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VLOOKUP(CN635,$A$681:$F$2272,6,FALSE)</f>
        <v>80</v>
      </c>
      <c r="CR635" s="203" t="s">
        <v>61</v>
      </c>
      <c r="CS635" s="10">
        <f>CQ635*1.5*CP635</f>
        <v>120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VLOOKUP(CW635,$A$681:$F$2272,6,FALSE)</f>
        <v>34</v>
      </c>
      <c r="DA635" s="203" t="s">
        <v>61</v>
      </c>
      <c r="DB635" s="10">
        <f>CZ635*1.5*CY635</f>
        <v>51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VLOOKUP(DF635,$A$681:$F$2272,6,FALSE)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VLOOKUP(DO635,$A$681:$F$2272,6,FALSE)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VLOOKUP(DX635,$A$681:$F$2272,6,FALSE)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VLOOKUP(EG635,$A$681:$F$2272,6,FALSE)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VLOOKUP(EP635,$A$681:$F$2272,6,FALSE)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VLOOKUP(EY635,$A$681:$F$2272,6,FALSE)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VLOOKUP(FH635,$A$681:$F$2272,6,FALSE)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VLOOKUP(FQ635,$A$681:$F$2272,6,FALSE)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VLOOKUP(FZ635,$A$681:$F$2272,6,FALSE)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VLOOKUP(GI635,$A$681:$F$2272,6,FALSE)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2524</v>
      </c>
      <c r="GT635" s="284">
        <f>IF(GS635="Kopman",1.7,1)</f>
        <v>1</v>
      </c>
      <c r="GU635" s="204">
        <f>VLOOKUP(GR635,$A$681:$F$2272,6,FALSE)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VLOOKUP(HA635,$A$681:$F$2272,6,FALSE)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VLOOKUP(HJ635,$A$681:$F$2272,6,FALSE)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VLOOKUP(HS635,$A$681:$F$2272,6,FALSE)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VLOOKUP(IB635,$A$681:$F$2272,6,FALSE)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VLOOKUP(IK635,$A$681:$F$2272,6,FALSE)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VLOOKUP(IT635,$A$681:$F$2272,6,FALSE)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VLOOKUP(JC635,$A$681:$F$2272,6,FALSE)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VLOOKUP(JL635,$A$681:$F$2272,6,FALSE)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VLOOKUP(JU635,$A$681:$F$2272,6,FALSE)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VLOOKUP(KD635,$A$681:$F$2272,6,FALSE)</f>
        <v>73</v>
      </c>
      <c r="KH635" s="203" t="s">
        <v>61</v>
      </c>
      <c r="KI635" s="10">
        <f>KG635*1.5*KF635</f>
        <v>109.5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VLOOKUP(KM635,$A$681:$F$2272,6,FALSE)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VLOOKUP(KV635,$A$681:$F$2272,6,FALSE)</f>
        <v>15</v>
      </c>
      <c r="KZ635" s="203" t="s">
        <v>61</v>
      </c>
      <c r="LA635" s="10">
        <f>KY635*1.5*KX635</f>
        <v>22.5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VLOOKUP(LE635,$A$681:$F$2272,6,FALSE)</f>
        <v>15</v>
      </c>
      <c r="LI635" s="203" t="s">
        <v>61</v>
      </c>
      <c r="LJ635" s="10">
        <f>LH635*1.5*LG635</f>
        <v>22.5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VLOOKUP(LN635,$A$681:$F$2272,6,FALSE)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VLOOKUP(LW635,$A$681:$F$2272,6,FALSE)</f>
        <v>80</v>
      </c>
      <c r="MA635" s="203" t="s">
        <v>61</v>
      </c>
      <c r="MB635" s="10">
        <f>LZ635*1.5*LY635</f>
        <v>120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VLOOKUP(MF635,$A$681:$F$2272,6,FALSE)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VLOOKUP(MO635,$A$681:$F$2272,6,FALSE)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VLOOKUP(MX635,$A$681:$F$2272,6,FALSE)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VLOOKUP(NG635,$A$681:$F$2272,6,FALSE)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VLOOKUP(NP635,$A$681:$F$2272,6,FALSE)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VLOOKUP(NY635,$A$681:$F$2272,6,FALSE)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VLOOKUP(OH635,$A$681:$F$2272,6,FALSE)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VLOOKUP(OQ635,$A$681:$F$2272,6,FALSE)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VLOOKUP(OZ635,$A$681:$F$2272,6,FALSE)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2091</v>
      </c>
      <c r="PK635" s="284">
        <f>IF(PJ635="Kopman",1.7,1)</f>
        <v>1</v>
      </c>
      <c r="PL635" s="204">
        <f>VLOOKUP(PI635,$A$681:$F$2272,6,FALSE)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VLOOKUP(PR635,$A$681:$F$2272,6,FALSE)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VLOOKUP(QA635,$A$681:$F$2272,6,FALSE)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VLOOKUP(QJ635,$A$681:$F$2272,6,FALSE)</f>
        <v>90</v>
      </c>
      <c r="QN635" s="203" t="s">
        <v>61</v>
      </c>
      <c r="QO635" s="10">
        <f>QM635*1.5*QL635</f>
        <v>135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VLOOKUP(QS635,$A$681:$F$2272,6,FALSE)</f>
        <v>7</v>
      </c>
      <c r="QW635" s="203" t="s">
        <v>61</v>
      </c>
      <c r="QX635" s="10">
        <f>QV635*1.5*QU635</f>
        <v>10.5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VLOOKUP(RB635,$A$681:$F$2272,6,FALSE)</f>
        <v>34</v>
      </c>
      <c r="RF635" s="203" t="s">
        <v>61</v>
      </c>
      <c r="RG635" s="10">
        <f>RE635*1.5*RD635</f>
        <v>51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VLOOKUP(RK635,$A$681:$F$2272,6,FALSE)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VLOOKUP(RT635,$A$681:$F$2272,6,FALSE)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VLOOKUP(SC635,$A$681:$F$2272,6,FALSE)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VLOOKUP(SL635,$A$681:$F$2272,6,FALSE)</f>
        <v>80</v>
      </c>
      <c r="SP635" s="203" t="s">
        <v>61</v>
      </c>
      <c r="SQ635" s="10">
        <f>SO635*1.5*SN635</f>
        <v>120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VLOOKUP(SU635,$A$681:$F$2272,6,FALSE)</f>
        <v>23</v>
      </c>
      <c r="SY635" s="203" t="s">
        <v>61</v>
      </c>
      <c r="SZ635" s="10">
        <f>SX635*1.5*SW635</f>
        <v>34.5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VLOOKUP(TD635,$A$681:$F$2272,6,FALSE)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VLOOKUP(TM635,$A$681:$F$2272,6,FALSE)</f>
        <v>23</v>
      </c>
      <c r="TQ635" s="203" t="s">
        <v>61</v>
      </c>
      <c r="TR635" s="10">
        <f>TP635*1.5*TO635</f>
        <v>34.5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VLOOKUP(TV635,$A$681:$F$2272,6,FALSE)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VLOOKUP(UE635,$A$681:$F$2272,6,FALSE)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2023</v>
      </c>
      <c r="UP635" s="284">
        <f>IF(UO635="Kopman",1.7,1)</f>
        <v>1.7</v>
      </c>
      <c r="UQ635" s="204">
        <f>VLOOKUP(UN635,$A$681:$F$2272,6,FALSE)</f>
        <v>15</v>
      </c>
      <c r="UR635" s="203" t="s">
        <v>61</v>
      </c>
      <c r="US635" s="10">
        <f>UQ635*1.5*UP635</f>
        <v>38.25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VLOOKUP(UW635,$A$681:$F$2272,6,FALSE)</f>
        <v>34</v>
      </c>
      <c r="VA635" s="203" t="s">
        <v>61</v>
      </c>
      <c r="VB635" s="10">
        <f>UZ635*1.5*UY635</f>
        <v>51</v>
      </c>
      <c r="VC635" s="10"/>
      <c r="VD635" s="274"/>
      <c r="VE635" s="203" t="s">
        <v>95</v>
      </c>
      <c r="VF635" s="417" t="s">
        <v>1711</v>
      </c>
      <c r="VG635" s="416" t="s">
        <v>2023</v>
      </c>
      <c r="VH635" s="284">
        <f>IF(VG635="Kopman",1.7,1)</f>
        <v>1.7</v>
      </c>
      <c r="VI635" s="204">
        <f>VLOOKUP(VF635,$A$681:$F$2272,6,FALSE)</f>
        <v>21</v>
      </c>
      <c r="VJ635" s="203" t="s">
        <v>61</v>
      </c>
      <c r="VK635" s="10">
        <f>VI635*1.5*VH635</f>
        <v>53.55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VLOOKUP(VO635,$A$681:$F$2272,6,FALSE)</f>
        <v>37</v>
      </c>
      <c r="VS635" s="203" t="s">
        <v>61</v>
      </c>
      <c r="VT635" s="10">
        <f>VR635*1.5*VQ635</f>
        <v>55.5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VLOOKUP(VX635,$A$681:$F$2272,6,FALSE)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VLOOKUP(WG635,$A$681:$F$2272,6,FALSE)</f>
        <v>80</v>
      </c>
      <c r="WK635" s="203" t="s">
        <v>149</v>
      </c>
      <c r="WL635" s="10">
        <f>WJ635*1.5</f>
        <v>120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VLOOKUP(WP635,$A$681:$F$2272,6,FALSE)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VLOOKUP(WY635,$A$681:$F$2272,6,FALSE)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VLOOKUP(XH635,$A$681:$F$2272,6,FALSE)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VLOOKUP(XQ635,$A$681:$F$2272,6,FALSE)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VLOOKUP(XZ635,$A$681:$F$2272,6,FALSE)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VLOOKUP(YI635,$A$681:$F$2272,6,FALSE)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VLOOKUP(YR635,$A$681:$F$2272,6,FALSE)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2023</v>
      </c>
      <c r="ZC635" s="284">
        <f>IF(ZB635="Kopman",1.7,1)</f>
        <v>1.7</v>
      </c>
      <c r="ZD635" s="204">
        <f>VLOOKUP(ZA635,$A$681:$F$2272,6,FALSE)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VLOOKUP(ZJ635,$A$681:$F$2272,6,FALSE)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VLOOKUP(ZS635,$A$681:$F$2272,6,FALSE)</f>
        <v>15</v>
      </c>
      <c r="ZW635" s="203" t="s">
        <v>61</v>
      </c>
      <c r="ZX635" s="10">
        <f>ZV635*1.5*ZU635</f>
        <v>22.5</v>
      </c>
      <c r="ZY635" s="10"/>
      <c r="ZZ635" s="274"/>
      <c r="AAA635" s="203" t="s">
        <v>95</v>
      </c>
      <c r="AAB635" s="417" t="s">
        <v>1273</v>
      </c>
      <c r="AAC635" s="416" t="s">
        <v>2023</v>
      </c>
      <c r="AAD635" s="284">
        <f>IF(AAC635="Kopman",1.7,1)</f>
        <v>1.7</v>
      </c>
      <c r="AAE635" s="204">
        <f>VLOOKUP(AAB635,$A$681:$F$2272,6,FALSE)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VLOOKUP(AAK635,$A$681:$F$2272,6,FALSE)</f>
        <v>21</v>
      </c>
      <c r="AAO635" s="203" t="s">
        <v>61</v>
      </c>
      <c r="AAP635" s="10">
        <f>AAN635*1.5*AAM635</f>
        <v>31.5</v>
      </c>
      <c r="AAQ635" s="10"/>
      <c r="AAR635" s="274"/>
      <c r="AAS635" s="203" t="s">
        <v>95</v>
      </c>
      <c r="AAT635" s="417" t="s">
        <v>2091</v>
      </c>
      <c r="AAU635" s="416" t="s">
        <v>2023</v>
      </c>
      <c r="AAV635" s="284">
        <f>IF(AAU635="Kopman",1.7,1)</f>
        <v>1.7</v>
      </c>
      <c r="AAW635" s="204">
        <f>VLOOKUP(AAT635,$A$681:$F$2272,6,FALSE)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VLOOKUP(ABC635,$A$681:$F$2272,6,FALSE)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VLOOKUP(ABL635,$A$681:$F$2272,6,FALSE)</f>
        <v>7</v>
      </c>
      <c r="ABP635" s="203" t="s">
        <v>61</v>
      </c>
      <c r="ABQ635" s="10">
        <f>ABO635*1.5*ABN635</f>
        <v>10.5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VLOOKUP(ABU635,$A$681:$F$2272,6,FALSE)</f>
        <v>21</v>
      </c>
      <c r="ABY635" s="203" t="s">
        <v>61</v>
      </c>
      <c r="ABZ635" s="10">
        <f>ABX635*1.5*ABW635</f>
        <v>31.5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VLOOKUP(ACD635,$A$681:$F$2272,6,FALSE)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VLOOKUP(ACM635,$A$681:$F$2272,6,FALSE)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VLOOKUP(ACV635,$A$681:$F$2272,6,FALSE)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VLOOKUP(ADE635,$A$681:$F$2272,6,FALSE)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VLOOKUP(ADN635,$A$681:$F$2272,6,FALSE)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VLOOKUP(ADW635,$A$681:$F$2272,6,FALSE)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VLOOKUP(AEF635,$A$681:$F$2272,6,FALSE)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VLOOKUP(AEO635,$A$681:$F$2272,6,FALSE)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VLOOKUP(AEX635,$A$681:$F$2272,6,FALSE)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VLOOKUP(AFG635,$A$681:$F$2272,6,FALSE)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VLOOKUP(AFP635,$A$681:$F$2272,6,FALSE)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VLOOKUP(AFY635,$A$681:$F$2272,6,FALSE)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VLOOKUP(AGH635,$A$681:$F$2272,6,FALSE)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VLOOKUP(AGQ635,$A$681:$F$2272,6,FALSE)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VLOOKUP(AGZ635,$A$681:$F$2272,6,FALSE)</f>
        <v>37</v>
      </c>
      <c r="AHD635" s="203" t="s">
        <v>61</v>
      </c>
      <c r="AHE635" s="10">
        <f>AHC635*1.5*AHB635</f>
        <v>55.5</v>
      </c>
      <c r="AHF635" s="10"/>
      <c r="AHG635" s="274"/>
      <c r="AHH635" s="203" t="s">
        <v>95</v>
      </c>
      <c r="AHI635" s="277" t="s">
        <v>2064</v>
      </c>
      <c r="AHK635" s="284">
        <f>IF(AHJ635="Kopman",1.7,1)</f>
        <v>1</v>
      </c>
      <c r="AHL635" s="204">
        <f>VLOOKUP(AHI635,$A$681:$F$2272,6,FALSE)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VLOOKUP(AHR635,$A$681:$F$2272,6,FALSE)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VLOOKUP(AIA635,$A$681:$F$2272,6,FALSE)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VLOOKUP(AIJ635,$A$681:$F$2272,6,FALSE)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VLOOKUP(AIS635,$A$681:$F$2272,6,FALSE)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VLOOKUP(AJB635,$A$681:$F$2272,6,FALSE)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VLOOKUP(AJK635,$A$681:$F$2272,6,FALSE)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VLOOKUP(AJT635,$A$681:$F$2272,6,FALSE)</f>
        <v>31</v>
      </c>
      <c r="AJX635" s="203" t="s">
        <v>61</v>
      </c>
      <c r="AJY635" s="10">
        <f>AJW635*1.5*AJV635</f>
        <v>46.5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VLOOKUP(AKC635,$A$681:$F$2272,6,FALSE)</f>
        <v>31</v>
      </c>
      <c r="AKG635" s="203" t="s">
        <v>61</v>
      </c>
      <c r="AKH635" s="10">
        <f>AKF635*1.5*AKE635</f>
        <v>46.5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VLOOKUP(AKL635,$A$681:$F$2272,6,FALSE)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VLOOKUP(AKU635,$A$681:$F$2272,6,FALSE)</f>
        <v>34</v>
      </c>
      <c r="AKY635" s="203" t="s">
        <v>61</v>
      </c>
      <c r="AKZ635" s="10">
        <f>AKX635*1.5*AKW635</f>
        <v>51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VLOOKUP(ALD635,$A$681:$F$2272,6,FALSE)</f>
        <v>34</v>
      </c>
      <c r="ALH635" s="203" t="s">
        <v>61</v>
      </c>
      <c r="ALI635" s="10">
        <f>ALG635*1.5*ALF635</f>
        <v>51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VLOOKUP(ALM635,$A$681:$F$2272,6,FALSE)</f>
        <v>34</v>
      </c>
      <c r="ALQ635" s="203" t="s">
        <v>61</v>
      </c>
      <c r="ALR635" s="10">
        <f>ALP635*1.5*ALO635</f>
        <v>51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VLOOKUP(ALV635,$A$681:$F$2272,6,FALSE)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VLOOKUP(AME635,$A$681:$F$2272,6,FALSE)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VLOOKUP(AMN635,$A$681:$F$2272,6,FALSE)</f>
        <v>90</v>
      </c>
      <c r="AMR635" s="203" t="s">
        <v>61</v>
      </c>
      <c r="AMS635" s="10">
        <f>AMQ635*1.5*AMP635</f>
        <v>135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VLOOKUP(AMW635,$A$681:$F$2272,6,FALSE)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VLOOKUP(ANF635,$A$681:$F$2272,6,FALSE)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VLOOKUP(ANO635,$A$681:$F$2272,6,FALSE)</f>
        <v>31</v>
      </c>
      <c r="ANS635" s="203" t="s">
        <v>61</v>
      </c>
      <c r="ANT635" s="10">
        <f>ANR635*1.5*ANQ635</f>
        <v>46.5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VLOOKUP(ANX635,$A$681:$F$2272,6,FALSE)</f>
        <v>15</v>
      </c>
      <c r="AOB635" s="203" t="s">
        <v>61</v>
      </c>
      <c r="AOC635" s="10">
        <f>AOA635*1.5*ANZ635</f>
        <v>22.5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VLOOKUP(AOG635,$A$681:$F$2272,6,FALSE)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VLOOKUP(AOP635,$A$681:$F$2272,6,FALSE)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VLOOKUP(AOY635,$A$681:$F$2272,6,FALSE)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VLOOKUP(APH635,$A$681:$F$2272,6,FALSE)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VLOOKUP(APQ635,$A$681:$F$2272,6,FALSE)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VLOOKUP(APZ635,$A$681:$F$2272,6,FALSE)</f>
        <v>90</v>
      </c>
      <c r="AQD635" s="203" t="s">
        <v>61</v>
      </c>
      <c r="AQE635" s="10">
        <f>AQC635*1.5*AQB635</f>
        <v>135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VLOOKUP(B636,$A$681:$F$2272,6,FALSE)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VLOOKUP(K636,$A$681:$F$2272,6,FALSE)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2091</v>
      </c>
      <c r="V636" s="204"/>
      <c r="W636" s="204">
        <f>VLOOKUP(T636,$A$681:$F$2272,6,FALSE)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VLOOKUP(AC636,$A$681:$F$2272,6,FALSE)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2091</v>
      </c>
      <c r="AN636" s="204"/>
      <c r="AO636" s="204">
        <f>VLOOKUP(AL636,$A$681:$F$2272,6,FALSE)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VLOOKUP(AU636,$A$681:$F$2272,6,FALSE)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VLOOKUP(BD636,$A$681:$F$2272,6,FALSE)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VLOOKUP(BM636,$A$681:$F$2272,6,FALSE)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VLOOKUP(BV636,$A$681:$F$2272,6,FALSE)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VLOOKUP(CE636,$A$681:$F$2272,6,FALSE)</f>
        <v>34</v>
      </c>
      <c r="CI636" s="203" t="s">
        <v>63</v>
      </c>
      <c r="CJ636" s="10">
        <f>CH636*1.4</f>
        <v>47.599999999999994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VLOOKUP(CN636,$A$681:$F$2272,6,FALSE)</f>
        <v>80</v>
      </c>
      <c r="CR636" s="203" t="s">
        <v>63</v>
      </c>
      <c r="CS636" s="10">
        <f>CQ636*1.4</f>
        <v>112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VLOOKUP(CW636,$A$681:$F$2272,6,FALSE)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VLOOKUP(DF636,$A$681:$F$2272,6,FALSE)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VLOOKUP(DO636,$A$681:$F$2272,6,FALSE)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VLOOKUP(DX636,$A$681:$F$2272,6,FALSE)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VLOOKUP(EG636,$A$681:$F$2272,6,FALSE)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VLOOKUP(EP636,$A$681:$F$2272,6,FALSE)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VLOOKUP(EY636,$A$681:$F$2272,6,FALSE)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VLOOKUP(FH636,$A$681:$F$2272,6,FALSE)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VLOOKUP(FQ636,$A$681:$F$2272,6,FALSE)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VLOOKUP(FZ636,$A$681:$F$2272,6,FALSE)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VLOOKUP(GI636,$A$681:$F$2272,6,FALSE)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VLOOKUP(GR636,$A$681:$F$2272,6,FALSE)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VLOOKUP(HA636,$A$681:$F$2272,6,FALSE)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VLOOKUP(HJ636,$A$681:$F$2272,6,FALSE)</f>
        <v>31</v>
      </c>
      <c r="HN636" s="203" t="s">
        <v>63</v>
      </c>
      <c r="HO636" s="10">
        <f>HM636*1.4</f>
        <v>43.4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VLOOKUP(HS636,$A$681:$F$2272,6,FALSE)</f>
        <v>31</v>
      </c>
      <c r="HW636" s="203" t="s">
        <v>63</v>
      </c>
      <c r="HX636" s="10">
        <f>HV636*1.4</f>
        <v>43.4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VLOOKUP(IB636,$A$681:$F$2272,6,FALSE)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VLOOKUP(IK636,$A$681:$F$2272,6,FALSE)</f>
        <v>80</v>
      </c>
      <c r="IO636" s="203" t="s">
        <v>63</v>
      </c>
      <c r="IP636" s="10">
        <f>IN636*1.4</f>
        <v>112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VLOOKUP(IT636,$A$681:$F$2272,6,FALSE)</f>
        <v>80</v>
      </c>
      <c r="IX636" s="203" t="s">
        <v>63</v>
      </c>
      <c r="IY636" s="10">
        <f>IW636*1.4</f>
        <v>112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VLOOKUP(JC636,$A$681:$F$2272,6,FALSE)</f>
        <v>37</v>
      </c>
      <c r="JG636" s="203" t="s">
        <v>63</v>
      </c>
      <c r="JH636" s="10">
        <f>JF636*1.4</f>
        <v>51.8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VLOOKUP(JL636,$A$681:$F$2272,6,FALSE)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VLOOKUP(JU636,$A$681:$F$2272,6,FALSE)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VLOOKUP(KD636,$A$681:$F$2272,6,FALSE)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VLOOKUP(KM636,$A$681:$F$2272,6,FALSE)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VLOOKUP(KV636,$A$681:$F$2272,6,FALSE)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VLOOKUP(LE636,$A$681:$F$2272,6,FALSE)</f>
        <v>34</v>
      </c>
      <c r="LI636" s="203" t="s">
        <v>63</v>
      </c>
      <c r="LJ636" s="10">
        <f>LH636*1.4</f>
        <v>47.599999999999994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VLOOKUP(LN636,$A$681:$F$2272,6,FALSE)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VLOOKUP(LW636,$A$681:$F$2272,6,FALSE)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VLOOKUP(MF636,$A$681:$F$2272,6,FALSE)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2338</v>
      </c>
      <c r="MQ636" s="204"/>
      <c r="MR636" s="204">
        <f>VLOOKUP(MO636,$A$681:$F$2272,6,FALSE)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VLOOKUP(MX636,$A$681:$F$2272,6,FALSE)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VLOOKUP(NG636,$A$681:$F$2272,6,FALSE)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VLOOKUP(NP636,$A$681:$F$2272,6,FALSE)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VLOOKUP(NY636,$A$681:$F$2272,6,FALSE)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VLOOKUP(OH636,$A$681:$F$2272,6,FALSE)</f>
        <v>87</v>
      </c>
      <c r="OL636" s="203" t="s">
        <v>63</v>
      </c>
      <c r="OM636" s="10">
        <f>OK636*1.4</f>
        <v>121.8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VLOOKUP(OQ636,$A$681:$F$2272,6,FALSE)</f>
        <v>37</v>
      </c>
      <c r="OU636" s="203" t="s">
        <v>63</v>
      </c>
      <c r="OV636" s="10">
        <f>OT636*1.4</f>
        <v>51.8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VLOOKUP(OZ636,$A$681:$F$2272,6,FALSE)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VLOOKUP(PI636,$A$681:$F$2272,6,FALSE)</f>
        <v>80</v>
      </c>
      <c r="PM636" s="203" t="s">
        <v>63</v>
      </c>
      <c r="PN636" s="10">
        <f>PL636*1.4</f>
        <v>112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VLOOKUP(PR636,$A$681:$F$2272,6,FALSE)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VLOOKUP(QA636,$A$681:$F$2272,6,FALSE)</f>
        <v>15</v>
      </c>
      <c r="QE636" s="203" t="s">
        <v>63</v>
      </c>
      <c r="QF636" s="10">
        <f>QD636*1.4</f>
        <v>21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VLOOKUP(QJ636,$A$681:$F$2272,6,FALSE)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VLOOKUP(QS636,$A$681:$F$2272,6,FALSE)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VLOOKUP(RB636,$A$681:$F$2272,6,FALSE)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VLOOKUP(RK636,$A$681:$F$2272,6,FALSE)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VLOOKUP(RT636,$A$681:$F$2272,6,FALSE)</f>
        <v>87</v>
      </c>
      <c r="RX636" s="203" t="s">
        <v>63</v>
      </c>
      <c r="RY636" s="10">
        <f>RW636*1.4</f>
        <v>121.8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VLOOKUP(SC636,$A$681:$F$2272,6,FALSE)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VLOOKUP(SL636,$A$681:$F$2272,6,FALSE)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VLOOKUP(SU636,$A$681:$F$2272,6,FALSE)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VLOOKUP(TD636,$A$681:$F$2272,6,FALSE)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450</v>
      </c>
      <c r="TO636" s="204"/>
      <c r="TP636" s="204">
        <f>VLOOKUP(TM636,$A$681:$F$2272,6,FALSE)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VLOOKUP(TV636,$A$681:$F$2272,6,FALSE)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VLOOKUP(UE636,$A$681:$F$2272,6,FALSE)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VLOOKUP(UN636,$A$681:$F$2272,6,FALSE)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2064</v>
      </c>
      <c r="UY636" s="204"/>
      <c r="UZ636" s="204">
        <f>VLOOKUP(UW636,$A$681:$F$2272,6,FALSE)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2091</v>
      </c>
      <c r="VH636" s="204"/>
      <c r="VI636" s="204">
        <f>VLOOKUP(VF636,$A$681:$F$2272,6,FALSE)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VLOOKUP(VO636,$A$681:$F$2272,6,FALSE)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VLOOKUP(VX636,$A$681:$F$2272,6,FALSE)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2064</v>
      </c>
      <c r="WI636" s="204"/>
      <c r="WJ636" s="204">
        <f>VLOOKUP(WG636,$A$681:$F$2272,6,FALSE)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VLOOKUP(WP636,$A$681:$F$2272,6,FALSE)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VLOOKUP(WY636,$A$681:$F$2272,6,FALSE)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VLOOKUP(XH636,$A$681:$F$2272,6,FALSE)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2338</v>
      </c>
      <c r="XS636" s="204"/>
      <c r="XT636" s="204">
        <f>VLOOKUP(XQ636,$A$681:$F$2272,6,FALSE)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VLOOKUP(XZ636,$A$681:$F$2272,6,FALSE)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VLOOKUP(YI636,$A$681:$F$2272,6,FALSE)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VLOOKUP(YR636,$A$681:$F$2272,6,FALSE)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VLOOKUP(ZA636,$A$681:$F$2272,6,FALSE)</f>
        <v>7</v>
      </c>
      <c r="ZE636" s="203" t="s">
        <v>63</v>
      </c>
      <c r="ZF636" s="10">
        <f>ZD636*1.4</f>
        <v>9.7999999999999989</v>
      </c>
      <c r="ZH636" s="274"/>
      <c r="ZI636" s="203" t="s">
        <v>96</v>
      </c>
      <c r="ZJ636" s="277" t="s">
        <v>488</v>
      </c>
      <c r="ZL636" s="204"/>
      <c r="ZM636" s="204">
        <f>VLOOKUP(ZJ636,$A$681:$F$2272,6,FALSE)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VLOOKUP(ZS636,$A$681:$F$2272,6,FALSE)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VLOOKUP(AAB636,$A$681:$F$2272,6,FALSE)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VLOOKUP(AAK636,$A$681:$F$2272,6,FALSE)</f>
        <v>15</v>
      </c>
      <c r="AAO636" s="203" t="s">
        <v>63</v>
      </c>
      <c r="AAP636" s="10">
        <f>AAN636*1.4</f>
        <v>21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VLOOKUP(AAT636,$A$681:$F$2272,6,FALSE)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VLOOKUP(ABC636,$A$681:$F$2272,6,FALSE)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VLOOKUP(ABL636,$A$681:$F$2272,6,FALSE)</f>
        <v>2</v>
      </c>
      <c r="ABP636" s="203" t="s">
        <v>63</v>
      </c>
      <c r="ABQ636" s="10">
        <f>ABO636*1.4</f>
        <v>2.8</v>
      </c>
      <c r="ABR636" s="10"/>
      <c r="ABS636" s="274"/>
      <c r="ABT636" s="203" t="s">
        <v>96</v>
      </c>
      <c r="ABU636" s="277" t="s">
        <v>2091</v>
      </c>
      <c r="ABW636" s="204"/>
      <c r="ABX636" s="204">
        <f>VLOOKUP(ABU636,$A$681:$F$2272,6,FALSE)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VLOOKUP(ACD636,$A$681:$F$2272,6,FALSE)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VLOOKUP(ACM636,$A$681:$F$2272,6,FALSE)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VLOOKUP(ACV636,$A$681:$F$2272,6,FALSE)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VLOOKUP(ADE636,$A$681:$F$2272,6,FALSE)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VLOOKUP(ADN636,$A$681:$F$2272,6,FALSE)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VLOOKUP(ADW636,$A$681:$F$2272,6,FALSE)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VLOOKUP(AEF636,$A$681:$F$2272,6,FALSE)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VLOOKUP(AEO636,$A$681:$F$2272,6,FALSE)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VLOOKUP(AEX636,$A$681:$F$2272,6,FALSE)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VLOOKUP(AFG636,$A$681:$F$2272,6,FALSE)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VLOOKUP(AFP636,$A$681:$F$2272,6,FALSE)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VLOOKUP(AFY636,$A$681:$F$2272,6,FALSE)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VLOOKUP(AGH636,$A$681:$F$2272,6,FALSE)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VLOOKUP(AGQ636,$A$681:$F$2272,6,FALSE)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VLOOKUP(AGZ636,$A$681:$F$2272,6,FALSE)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VLOOKUP(AHI636,$A$681:$F$2272,6,FALSE)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VLOOKUP(AHR636,$A$681:$F$2272,6,FALSE)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VLOOKUP(AIA636,$A$681:$F$2272,6,FALSE)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VLOOKUP(AIJ636,$A$681:$F$2272,6,FALSE)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VLOOKUP(AIS636,$A$681:$F$2272,6,FALSE)</f>
        <v>31</v>
      </c>
      <c r="AIW636" s="203" t="s">
        <v>63</v>
      </c>
      <c r="AIX636" s="10">
        <f>AIV636*1.4</f>
        <v>43.4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VLOOKUP(AJB636,$A$681:$F$2272,6,FALSE)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VLOOKUP(AJK636,$A$681:$F$2272,6,FALSE)</f>
        <v>34</v>
      </c>
      <c r="AJO636" s="203" t="s">
        <v>63</v>
      </c>
      <c r="AJP636" s="10">
        <f>AJN636*1.4</f>
        <v>47.599999999999994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VLOOKUP(AJT636,$A$681:$F$2272,6,FALSE)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VLOOKUP(AKC636,$A$681:$F$2272,6,FALSE)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VLOOKUP(AKL636,$A$681:$F$2272,6,FALSE)</f>
        <v>31</v>
      </c>
      <c r="AKP636" s="203" t="s">
        <v>63</v>
      </c>
      <c r="AKQ636" s="10">
        <f>AKO636*1.4</f>
        <v>43.4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VLOOKUP(AKU636,$A$681:$F$2272,6,FALSE)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VLOOKUP(ALD636,$A$681:$F$2272,6,FALSE)</f>
        <v>37</v>
      </c>
      <c r="ALH636" s="203" t="s">
        <v>63</v>
      </c>
      <c r="ALI636" s="10">
        <f>ALG636*1.4</f>
        <v>51.8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VLOOKUP(ALM636,$A$681:$F$2272,6,FALSE)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VLOOKUP(ALV636,$A$681:$F$2272,6,FALSE)</f>
        <v>73</v>
      </c>
      <c r="ALZ636" s="203" t="s">
        <v>63</v>
      </c>
      <c r="AMA636" s="10">
        <f>ALY636*1.4</f>
        <v>102.19999999999999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VLOOKUP(AME636,$A$681:$F$2272,6,FALSE)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VLOOKUP(AMN636,$A$681:$F$2272,6,FALSE)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VLOOKUP(AMW636,$A$681:$F$2272,6,FALSE)</f>
        <v>87</v>
      </c>
      <c r="ANA636" s="203" t="s">
        <v>63</v>
      </c>
      <c r="ANB636" s="10">
        <f>AMZ636*1.4</f>
        <v>121.8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VLOOKUP(ANF636,$A$681:$F$2272,6,FALSE)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2338</v>
      </c>
      <c r="ANQ636" s="204"/>
      <c r="ANR636" s="204">
        <f>VLOOKUP(ANO636,$A$681:$F$2272,6,FALSE)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VLOOKUP(ANX636,$A$681:$F$2272,6,FALSE)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2091</v>
      </c>
      <c r="AOI636" s="204"/>
      <c r="AOJ636" s="204">
        <f>VLOOKUP(AOG636,$A$681:$F$2272,6,FALSE)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VLOOKUP(AOP636,$A$681:$F$2272,6,FALSE)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VLOOKUP(AOY636,$A$681:$F$2272,6,FALSE)</f>
        <v>31</v>
      </c>
      <c r="APC636" s="203" t="s">
        <v>63</v>
      </c>
      <c r="APD636" s="10">
        <f>APB636*1.4</f>
        <v>43.4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VLOOKUP(APH636,$A$681:$F$2272,6,FALSE)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VLOOKUP(APQ636,$A$681:$F$2272,6,FALSE)</f>
        <v>23</v>
      </c>
      <c r="APU636" s="203" t="s">
        <v>63</v>
      </c>
      <c r="APV636" s="10">
        <f>APT636*1.4</f>
        <v>32.199999999999996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VLOOKUP(APZ636,$A$681:$F$2272,6,FALSE)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2091</v>
      </c>
      <c r="D637" s="204"/>
      <c r="E637" s="204">
        <f>VLOOKUP(B637,$A$681:$F$2272,6,FALSE)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VLOOKUP(K637,$A$681:$F$2272,6,FALSE)</f>
        <v>87</v>
      </c>
      <c r="O637" s="203" t="s">
        <v>65</v>
      </c>
      <c r="P637" s="10">
        <f>N637*1.3</f>
        <v>113.10000000000001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VLOOKUP(T637,$A$681:$F$2272,6,FALSE)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VLOOKUP(AC637,$A$681:$F$2272,6,FALSE)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VLOOKUP(AL637,$A$681:$F$2272,6,FALSE)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VLOOKUP(AU637,$A$681:$F$2272,6,FALSE)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VLOOKUP(BD637,$A$681:$F$2272,6,FALSE)</f>
        <v>7</v>
      </c>
      <c r="BH637" s="203" t="s">
        <v>65</v>
      </c>
      <c r="BI637" s="10">
        <f>BG637*1.3</f>
        <v>9.1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VLOOKUP(BM637,$A$681:$F$2272,6,FALSE)</f>
        <v>34</v>
      </c>
      <c r="BQ637" s="203" t="s">
        <v>65</v>
      </c>
      <c r="BR637" s="10">
        <f>BP637*1.3</f>
        <v>44.2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VLOOKUP(BV637,$A$681:$F$2272,6,FALSE)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VLOOKUP(CE637,$A$681:$F$2272,6,FALSE)</f>
        <v>80</v>
      </c>
      <c r="CI637" s="203" t="s">
        <v>65</v>
      </c>
      <c r="CJ637" s="10">
        <f>CH637*1.3</f>
        <v>104</v>
      </c>
      <c r="CK637" s="10"/>
      <c r="CL637" s="268"/>
      <c r="CM637" s="203" t="s">
        <v>97</v>
      </c>
      <c r="CN637" s="277" t="s">
        <v>2091</v>
      </c>
      <c r="CP637" s="204"/>
      <c r="CQ637" s="204">
        <f>VLOOKUP(CN637,$A$681:$F$2272,6,FALSE)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VLOOKUP(CW637,$A$681:$F$2272,6,FALSE)</f>
        <v>87</v>
      </c>
      <c r="DA637" s="203" t="s">
        <v>65</v>
      </c>
      <c r="DB637" s="10">
        <f>CZ637*1.3</f>
        <v>113.10000000000001</v>
      </c>
      <c r="DC637" s="10"/>
      <c r="DD637" s="268"/>
      <c r="DE637" s="203" t="s">
        <v>97</v>
      </c>
      <c r="DF637" s="277" t="s">
        <v>2091</v>
      </c>
      <c r="DH637" s="204"/>
      <c r="DI637" s="204">
        <f>VLOOKUP(DF637,$A$681:$F$2272,6,FALSE)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VLOOKUP(DO637,$A$681:$F$2272,6,FALSE)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VLOOKUP(DX637,$A$681:$F$2272,6,FALSE)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VLOOKUP(EG637,$A$681:$F$2272,6,FALSE)</f>
        <v>37</v>
      </c>
      <c r="EK637" s="203" t="s">
        <v>65</v>
      </c>
      <c r="EL637" s="10">
        <f>EJ637*1.3</f>
        <v>48.1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VLOOKUP(EP637,$A$681:$F$2272,6,FALSE)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VLOOKUP(EY637,$A$681:$F$2272,6,FALSE)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VLOOKUP(FH637,$A$681:$F$2272,6,FALSE)</f>
        <v>87</v>
      </c>
      <c r="FL637" s="203" t="s">
        <v>65</v>
      </c>
      <c r="FM637" s="10">
        <f>FK637*1.3</f>
        <v>113.10000000000001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VLOOKUP(FQ637,$A$681:$F$2272,6,FALSE)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2091</v>
      </c>
      <c r="GB637" s="204"/>
      <c r="GC637" s="204">
        <f>VLOOKUP(FZ637,$A$681:$F$2272,6,FALSE)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VLOOKUP(GI637,$A$681:$F$2272,6,FALSE)</f>
        <v>128</v>
      </c>
      <c r="GM637" s="203" t="s">
        <v>65</v>
      </c>
      <c r="GN637" s="10">
        <f>GL637*1.3</f>
        <v>166.4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VLOOKUP(GR637,$A$681:$F$2272,6,FALSE)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VLOOKUP(HA637,$A$681:$F$2272,6,FALSE)</f>
        <v>90</v>
      </c>
      <c r="HE637" s="203" t="s">
        <v>65</v>
      </c>
      <c r="HF637" s="10">
        <f>HD637*1.3</f>
        <v>117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VLOOKUP(HJ637,$A$681:$F$2272,6,FALSE)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VLOOKUP(HS637,$A$681:$F$2272,6,FALSE)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VLOOKUP(IB637,$A$681:$F$2272,6,FALSE)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2064</v>
      </c>
      <c r="IM637" s="204"/>
      <c r="IN637" s="204">
        <f>VLOOKUP(IK637,$A$681:$F$2272,6,FALSE)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VLOOKUP(IT637,$A$681:$F$2272,6,FALSE)</f>
        <v>31</v>
      </c>
      <c r="IX637" s="203" t="s">
        <v>65</v>
      </c>
      <c r="IY637" s="10">
        <f>IW637*1.3</f>
        <v>40.300000000000004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VLOOKUP(JC637,$A$681:$F$2272,6,FALSE)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VLOOKUP(JL637,$A$681:$F$2272,6,FALSE)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VLOOKUP(JU637,$A$681:$F$2272,6,FALSE)</f>
        <v>80</v>
      </c>
      <c r="JY637" s="203" t="s">
        <v>65</v>
      </c>
      <c r="JZ637" s="10">
        <f>JX637*1.3</f>
        <v>104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VLOOKUP(KD637,$A$681:$F$2272,6,FALSE)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VLOOKUP(KM637,$A$681:$F$2272,6,FALSE)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VLOOKUP(KV637,$A$681:$F$2272,6,FALSE)</f>
        <v>87</v>
      </c>
      <c r="KZ637" s="203" t="s">
        <v>65</v>
      </c>
      <c r="LA637" s="10">
        <f>KY637*1.3</f>
        <v>113.10000000000001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VLOOKUP(LE637,$A$681:$F$2272,6,FALSE)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VLOOKUP(LN637,$A$681:$F$2272,6,FALSE)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VLOOKUP(LW637,$A$681:$F$2272,6,FALSE)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VLOOKUP(MF637,$A$681:$F$2272,6,FALSE)</f>
        <v>90</v>
      </c>
      <c r="MJ637" s="203" t="s">
        <v>65</v>
      </c>
      <c r="MK637" s="10">
        <f>MI637*1.3</f>
        <v>117</v>
      </c>
      <c r="ML637" s="10"/>
      <c r="MM637" s="268"/>
      <c r="MN637" s="203" t="s">
        <v>97</v>
      </c>
      <c r="MO637" s="277" t="s">
        <v>2091</v>
      </c>
      <c r="MQ637" s="204"/>
      <c r="MR637" s="204">
        <f>VLOOKUP(MO637,$A$681:$F$2272,6,FALSE)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VLOOKUP(MX637,$A$681:$F$2272,6,FALSE)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VLOOKUP(NG637,$A$681:$F$2272,6,FALSE)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VLOOKUP(NP637,$A$681:$F$2272,6,FALSE)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VLOOKUP(NY637,$A$681:$F$2272,6,FALSE)</f>
        <v>34</v>
      </c>
      <c r="OC637" s="203" t="s">
        <v>65</v>
      </c>
      <c r="OD637" s="10">
        <f>OB637*1.3</f>
        <v>44.2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VLOOKUP(OH637,$A$681:$F$2272,6,FALSE)</f>
        <v>90</v>
      </c>
      <c r="OL637" s="203" t="s">
        <v>65</v>
      </c>
      <c r="OM637" s="10">
        <f>OK637*1.3</f>
        <v>117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VLOOKUP(OQ637,$A$681:$F$2272,6,FALSE)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VLOOKUP(OZ637,$A$681:$F$2272,6,FALSE)</f>
        <v>87</v>
      </c>
      <c r="PD637" s="203" t="s">
        <v>65</v>
      </c>
      <c r="PE637" s="10">
        <f>PC637*1.3</f>
        <v>113.10000000000001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VLOOKUP(PI637,$A$681:$F$2272,6,FALSE)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VLOOKUP(PR637,$A$681:$F$2272,6,FALSE)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VLOOKUP(QA637,$A$681:$F$2272,6,FALSE)</f>
        <v>31</v>
      </c>
      <c r="QE637" s="203" t="s">
        <v>65</v>
      </c>
      <c r="QF637" s="10">
        <f>QD637*1.3</f>
        <v>40.300000000000004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VLOOKUP(QJ637,$A$681:$F$2272,6,FALSE)</f>
        <v>87</v>
      </c>
      <c r="QN637" s="203" t="s">
        <v>65</v>
      </c>
      <c r="QO637" s="10">
        <f>QM637*1.3</f>
        <v>113.10000000000001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VLOOKUP(QS637,$A$681:$F$2272,6,FALSE)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VLOOKUP(RB637,$A$681:$F$2272,6,FALSE)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VLOOKUP(RK637,$A$681:$F$2272,6,FALSE)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VLOOKUP(RT637,$A$681:$F$2272,6,FALSE)</f>
        <v>15</v>
      </c>
      <c r="RX637" s="203" t="s">
        <v>65</v>
      </c>
      <c r="RY637" s="10">
        <f>RW637*1.3</f>
        <v>19.5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VLOOKUP(SC637,$A$681:$F$2272,6,FALSE)</f>
        <v>87</v>
      </c>
      <c r="SG637" s="203" t="s">
        <v>65</v>
      </c>
      <c r="SH637" s="10">
        <f>SF637*1.3</f>
        <v>113.10000000000001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VLOOKUP(SL637,$A$681:$F$2272,6,FALSE)</f>
        <v>87</v>
      </c>
      <c r="SP637" s="203" t="s">
        <v>65</v>
      </c>
      <c r="SQ637" s="10">
        <f>SO637*1.3</f>
        <v>113.10000000000001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VLOOKUP(SU637,$A$681:$F$2272,6,FALSE)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VLOOKUP(TD637,$A$681:$F$2272,6,FALSE)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VLOOKUP(TM637,$A$681:$F$2272,6,FALSE)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VLOOKUP(TV637,$A$681:$F$2272,6,FALSE)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VLOOKUP(UE637,$A$681:$F$2272,6,FALSE)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VLOOKUP(UN637,$A$681:$F$2272,6,FALSE)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VLOOKUP(UW637,$A$681:$F$2272,6,FALSE)</f>
        <v>37</v>
      </c>
      <c r="VA637" s="203" t="s">
        <v>65</v>
      </c>
      <c r="VB637" s="10">
        <f>UZ637*1.3</f>
        <v>48.1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VLOOKUP(VF637,$A$681:$F$2272,6,FALSE)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VLOOKUP(VO637,$A$681:$F$2272,6,FALSE)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VLOOKUP(VX637,$A$681:$F$2272,6,FALSE)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VLOOKUP(WG637,$A$681:$F$2272,6,FALSE)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VLOOKUP(WP637,$A$681:$F$2272,6,FALSE)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VLOOKUP(WY637,$A$681:$F$2272,6,FALSE)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VLOOKUP(XH637,$A$681:$F$2272,6,FALSE)</f>
        <v>90</v>
      </c>
      <c r="XL637" s="203" t="s">
        <v>65</v>
      </c>
      <c r="XM637" s="10">
        <f>XK637*1.3</f>
        <v>117</v>
      </c>
      <c r="XO637" s="274"/>
      <c r="XP637" s="203" t="s">
        <v>97</v>
      </c>
      <c r="XQ637" s="277" t="s">
        <v>1229</v>
      </c>
      <c r="XS637" s="204"/>
      <c r="XT637" s="204">
        <f>VLOOKUP(XQ637,$A$681:$F$2272,6,FALSE)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VLOOKUP(XZ637,$A$681:$F$2272,6,FALSE)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VLOOKUP(YI637,$A$681:$F$2272,6,FALSE)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VLOOKUP(YR637,$A$681:$F$2272,6,FALSE)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VLOOKUP(ZA637,$A$681:$F$2272,6,FALSE)</f>
        <v>87</v>
      </c>
      <c r="ZE637" s="203" t="s">
        <v>65</v>
      </c>
      <c r="ZF637" s="10">
        <f>ZD637*1.3</f>
        <v>113.10000000000001</v>
      </c>
      <c r="ZH637" s="274"/>
      <c r="ZI637" s="203" t="s">
        <v>97</v>
      </c>
      <c r="ZJ637" s="277" t="s">
        <v>440</v>
      </c>
      <c r="ZL637" s="204"/>
      <c r="ZM637" s="204">
        <f>VLOOKUP(ZJ637,$A$681:$F$2272,6,FALSE)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VLOOKUP(ZS637,$A$681:$F$2272,6,FALSE)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VLOOKUP(AAB637,$A$681:$F$2272,6,FALSE)</f>
        <v>15</v>
      </c>
      <c r="AAF637" s="203" t="s">
        <v>65</v>
      </c>
      <c r="AAG637" s="10">
        <f>AAE637*1.3</f>
        <v>19.5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VLOOKUP(AAK637,$A$681:$F$2272,6,FALSE)</f>
        <v>83</v>
      </c>
      <c r="AAO637" s="203" t="s">
        <v>65</v>
      </c>
      <c r="AAP637" s="10">
        <f>AAN637*1.3</f>
        <v>107.9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VLOOKUP(AAT637,$A$681:$F$2272,6,FALSE)</f>
        <v>34</v>
      </c>
      <c r="AAX637" s="203" t="s">
        <v>65</v>
      </c>
      <c r="AAY637" s="10">
        <f>AAW637*1.3</f>
        <v>44.2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VLOOKUP(ABC637,$A$681:$F$2272,6,FALSE)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VLOOKUP(ABL637,$A$681:$F$2272,6,FALSE)</f>
        <v>80</v>
      </c>
      <c r="ABP637" s="203" t="s">
        <v>65</v>
      </c>
      <c r="ABQ637" s="10">
        <f>ABO637*1.3</f>
        <v>104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VLOOKUP(ABU637,$A$681:$F$2272,6,FALSE)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VLOOKUP(ACD637,$A$681:$F$2272,6,FALSE)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VLOOKUP(ACM637,$A$681:$F$2272,6,FALSE)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VLOOKUP(ACV637,$A$681:$F$2272,6,FALSE)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VLOOKUP(ADE637,$A$681:$F$2272,6,FALSE)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VLOOKUP(ADN637,$A$681:$F$2272,6,FALSE)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VLOOKUP(ADW637,$A$681:$F$2272,6,FALSE)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VLOOKUP(AEF637,$A$681:$F$2272,6,FALSE)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VLOOKUP(AEO637,$A$681:$F$2272,6,FALSE)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VLOOKUP(AEX637,$A$681:$F$2272,6,FALSE)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VLOOKUP(AFG637,$A$681:$F$2272,6,FALSE)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VLOOKUP(AFP637,$A$681:$F$2272,6,FALSE)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VLOOKUP(AFY637,$A$681:$F$2272,6,FALSE)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VLOOKUP(AGH637,$A$681:$F$2272,6,FALSE)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VLOOKUP(AGQ637,$A$681:$F$2272,6,FALSE)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VLOOKUP(AGZ637,$A$681:$F$2272,6,FALSE)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VLOOKUP(AHI637,$A$681:$F$2272,6,FALSE)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VLOOKUP(AHR637,$A$681:$F$2272,6,FALSE)</f>
        <v>87</v>
      </c>
      <c r="AHV637" s="203" t="s">
        <v>65</v>
      </c>
      <c r="AHW637" s="10">
        <f>AHU637*1.3</f>
        <v>113.10000000000001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VLOOKUP(AIA637,$A$681:$F$2272,6,FALSE)</f>
        <v>90</v>
      </c>
      <c r="AIE637" s="203" t="s">
        <v>65</v>
      </c>
      <c r="AIF637" s="10">
        <f>AID637*1.3</f>
        <v>117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VLOOKUP(AIJ637,$A$681:$F$2272,6,FALSE)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VLOOKUP(AIS637,$A$681:$F$2272,6,FALSE)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VLOOKUP(AJB637,$A$681:$F$2272,6,FALSE)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VLOOKUP(AJK637,$A$681:$F$2272,6,FALSE)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VLOOKUP(AJT637,$A$681:$F$2272,6,FALSE)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2338</v>
      </c>
      <c r="AKE637" s="204"/>
      <c r="AKF637" s="204">
        <f>VLOOKUP(AKC637,$A$681:$F$2272,6,FALSE)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VLOOKUP(AKL637,$A$681:$F$2272,6,FALSE)</f>
        <v>21</v>
      </c>
      <c r="AKP637" s="203" t="s">
        <v>65</v>
      </c>
      <c r="AKQ637" s="10">
        <f>AKO637*1.3</f>
        <v>27.3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VLOOKUP(AKU637,$A$681:$F$2272,6,FALSE)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VLOOKUP(ALD637,$A$681:$F$2272,6,FALSE)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VLOOKUP(ALM637,$A$681:$F$2272,6,FALSE)</f>
        <v>37</v>
      </c>
      <c r="ALQ637" s="203" t="s">
        <v>65</v>
      </c>
      <c r="ALR637" s="10">
        <f>ALP637*1.3</f>
        <v>48.1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VLOOKUP(ALV637,$A$681:$F$2272,6,FALSE)</f>
        <v>80</v>
      </c>
      <c r="ALZ637" s="203" t="s">
        <v>65</v>
      </c>
      <c r="AMA637" s="10">
        <f>ALY637*1.3</f>
        <v>104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VLOOKUP(AME637,$A$681:$F$2272,6,FALSE)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VLOOKUP(AMN637,$A$681:$F$2272,6,FALSE)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VLOOKUP(AMW637,$A$681:$F$2272,6,FALSE)</f>
        <v>80</v>
      </c>
      <c r="ANA637" s="203" t="s">
        <v>65</v>
      </c>
      <c r="ANB637" s="10">
        <f>AMZ637*1.3</f>
        <v>104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VLOOKUP(ANF637,$A$681:$F$2272,6,FALSE)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VLOOKUP(ANO637,$A$681:$F$2272,6,FALSE)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VLOOKUP(ANX637,$A$681:$F$2272,6,FALSE)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VLOOKUP(AOG637,$A$681:$F$2272,6,FALSE)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VLOOKUP(AOP637,$A$681:$F$2272,6,FALSE)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VLOOKUP(AOY637,$A$681:$F$2272,6,FALSE)</f>
        <v>87</v>
      </c>
      <c r="APC637" s="203" t="s">
        <v>65</v>
      </c>
      <c r="APD637" s="10">
        <f>APB637*1.3</f>
        <v>113.10000000000001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VLOOKUP(APH637,$A$681:$F$2272,6,FALSE)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VLOOKUP(APQ637,$A$681:$F$2272,6,FALSE)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VLOOKUP(APZ637,$A$681:$F$2272,6,FALSE)</f>
        <v>128</v>
      </c>
      <c r="AQD637" s="203" t="s">
        <v>65</v>
      </c>
      <c r="AQE637" s="10">
        <f>AQC637*1.3</f>
        <v>166.4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VLOOKUP(B638,$A$681:$F$2272,6,FALSE)</f>
        <v>87</v>
      </c>
      <c r="F638" s="203" t="s">
        <v>67</v>
      </c>
      <c r="G638" s="10">
        <f>E638*1.2</f>
        <v>104.39999999999999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VLOOKUP(K638,$A$681:$F$2272,6,FALSE)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VLOOKUP(T638,$A$681:$F$2272,6,FALSE)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2091</v>
      </c>
      <c r="AE638" s="204"/>
      <c r="AF638" s="204">
        <f>VLOOKUP(AC638,$A$681:$F$2272,6,FALSE)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VLOOKUP(AL638,$A$681:$F$2272,6,FALSE)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2338</v>
      </c>
      <c r="AW638" s="204"/>
      <c r="AX638" s="204">
        <f>VLOOKUP(AU638,$A$681:$F$2272,6,FALSE)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VLOOKUP(BD638,$A$681:$F$2272,6,FALSE)</f>
        <v>34</v>
      </c>
      <c r="BH638" s="203" t="s">
        <v>67</v>
      </c>
      <c r="BI638" s="10">
        <f>BG638*1.2</f>
        <v>40.799999999999997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VLOOKUP(BM638,$A$681:$F$2272,6,FALSE)</f>
        <v>87</v>
      </c>
      <c r="BQ638" s="203" t="s">
        <v>67</v>
      </c>
      <c r="BR638" s="10">
        <f>BP638*1.2</f>
        <v>104.39999999999999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VLOOKUP(BV638,$A$681:$F$2272,6,FALSE)</f>
        <v>31</v>
      </c>
      <c r="BZ638" s="203" t="s">
        <v>67</v>
      </c>
      <c r="CA638" s="10">
        <f>BY638*1.2</f>
        <v>37.199999999999996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VLOOKUP(CE638,$A$681:$F$2272,6,FALSE)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VLOOKUP(CN638,$A$681:$F$2272,6,FALSE)</f>
        <v>87</v>
      </c>
      <c r="CR638" s="203" t="s">
        <v>67</v>
      </c>
      <c r="CS638" s="10">
        <f>CQ638*1.2</f>
        <v>104.39999999999999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VLOOKUP(CW638,$A$681:$F$2272,6,FALSE)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VLOOKUP(DF638,$A$681:$F$2272,6,FALSE)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VLOOKUP(DO638,$A$681:$F$2272,6,FALSE)</f>
        <v>87</v>
      </c>
      <c r="DS638" s="203" t="s">
        <v>67</v>
      </c>
      <c r="DT638" s="10">
        <f>DR638*1.2</f>
        <v>104.39999999999999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VLOOKUP(DX638,$A$681:$F$2272,6,FALSE)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VLOOKUP(EG638,$A$681:$F$2272,6,FALSE)</f>
        <v>7</v>
      </c>
      <c r="EK638" s="203" t="s">
        <v>67</v>
      </c>
      <c r="EL638" s="10">
        <f>EJ638*1.2</f>
        <v>8.4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VLOOKUP(EP638,$A$681:$F$2272,6,FALSE)</f>
        <v>21</v>
      </c>
      <c r="ET638" s="203" t="s">
        <v>67</v>
      </c>
      <c r="EU638" s="10">
        <f>ES638*1.2</f>
        <v>25.2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VLOOKUP(EY638,$A$681:$F$2272,6,FALSE)</f>
        <v>128</v>
      </c>
      <c r="FC638" s="203" t="s">
        <v>67</v>
      </c>
      <c r="FD638" s="10">
        <f>FB638*1.2</f>
        <v>153.6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VLOOKUP(FH638,$A$681:$F$2272,6,FALSE)</f>
        <v>34</v>
      </c>
      <c r="FL638" s="203" t="s">
        <v>67</v>
      </c>
      <c r="FM638" s="10">
        <f>FK638*1.2</f>
        <v>40.799999999999997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VLOOKUP(FQ638,$A$681:$F$2272,6,FALSE)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VLOOKUP(FZ638,$A$681:$F$2272,6,FALSE)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VLOOKUP(GI638,$A$681:$F$2272,6,FALSE)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VLOOKUP(GR638,$A$681:$F$2272,6,FALSE)</f>
        <v>80</v>
      </c>
      <c r="GV638" s="203" t="s">
        <v>67</v>
      </c>
      <c r="GW638" s="10">
        <f>GU638*1.2</f>
        <v>96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VLOOKUP(HA638,$A$681:$F$2272,6,FALSE)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VLOOKUP(HJ638,$A$681:$F$2272,6,FALSE)</f>
        <v>87</v>
      </c>
      <c r="HN638" s="203" t="s">
        <v>67</v>
      </c>
      <c r="HO638" s="10">
        <f>HM638*1.2</f>
        <v>104.39999999999999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VLOOKUP(HS638,$A$681:$F$2272,6,FALSE)</f>
        <v>80</v>
      </c>
      <c r="HW638" s="203" t="s">
        <v>67</v>
      </c>
      <c r="HX638" s="10">
        <f>HV638*1.2</f>
        <v>96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VLOOKUP(IB638,$A$681:$F$2272,6,FALSE)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VLOOKUP(IK638,$A$681:$F$2272,6,FALSE)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VLOOKUP(IT638,$A$681:$F$2272,6,FALSE)</f>
        <v>21</v>
      </c>
      <c r="IX638" s="203" t="s">
        <v>67</v>
      </c>
      <c r="IY638" s="10">
        <f>IW638*1.2</f>
        <v>25.2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VLOOKUP(JC638,$A$681:$F$2272,6,FALSE)</f>
        <v>73</v>
      </c>
      <c r="JG638" s="203" t="s">
        <v>67</v>
      </c>
      <c r="JH638" s="10">
        <f>JF638*1.2</f>
        <v>87.6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VLOOKUP(JL638,$A$681:$F$2272,6,FALSE)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VLOOKUP(JU638,$A$681:$F$2272,6,FALSE)</f>
        <v>87</v>
      </c>
      <c r="JY638" s="203" t="s">
        <v>67</v>
      </c>
      <c r="JZ638" s="10">
        <f>JX638*1.2</f>
        <v>104.39999999999999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VLOOKUP(KD638,$A$681:$F$2272,6,FALSE)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VLOOKUP(KM638,$A$681:$F$2272,6,FALSE)</f>
        <v>37</v>
      </c>
      <c r="KQ638" s="203" t="s">
        <v>67</v>
      </c>
      <c r="KR638" s="10">
        <f>KP638*1.2</f>
        <v>44.4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VLOOKUP(KV638,$A$681:$F$2272,6,FALSE)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VLOOKUP(LE638,$A$681:$F$2272,6,FALSE)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VLOOKUP(LN638,$A$681:$F$2272,6,FALSE)</f>
        <v>80</v>
      </c>
      <c r="LR638" s="203" t="s">
        <v>67</v>
      </c>
      <c r="LS638" s="10">
        <f>LQ638*1.2</f>
        <v>96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VLOOKUP(LW638,$A$681:$F$2272,6,FALSE)</f>
        <v>15</v>
      </c>
      <c r="MA638" s="203" t="s">
        <v>67</v>
      </c>
      <c r="MB638" s="10">
        <f>LZ638*1.2</f>
        <v>18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VLOOKUP(MF638,$A$681:$F$2272,6,FALSE)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VLOOKUP(MO638,$A$681:$F$2272,6,FALSE)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VLOOKUP(MX638,$A$681:$F$2272,6,FALSE)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VLOOKUP(NG638,$A$681:$F$2272,6,FALSE)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VLOOKUP(NP638,$A$681:$F$2272,6,FALSE)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VLOOKUP(NY638,$A$681:$F$2272,6,FALSE)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VLOOKUP(OH638,$A$681:$F$2272,6,FALSE)</f>
        <v>21</v>
      </c>
      <c r="OL638" s="203" t="s">
        <v>67</v>
      </c>
      <c r="OM638" s="10">
        <f>OK638*1.2</f>
        <v>25.2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VLOOKUP(OQ638,$A$681:$F$2272,6,FALSE)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VLOOKUP(OZ638,$A$681:$F$2272,6,FALSE)</f>
        <v>15</v>
      </c>
      <c r="PD638" s="203" t="s">
        <v>67</v>
      </c>
      <c r="PE638" s="10">
        <f>PC638*1.2</f>
        <v>18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VLOOKUP(PI638,$A$681:$F$2272,6,FALSE)</f>
        <v>21</v>
      </c>
      <c r="PM638" s="203" t="s">
        <v>67</v>
      </c>
      <c r="PN638" s="10">
        <f>PL638*1.2</f>
        <v>25.2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VLOOKUP(PR638,$A$681:$F$2272,6,FALSE)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VLOOKUP(QA638,$A$681:$F$2272,6,FALSE)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VLOOKUP(QJ638,$A$681:$F$2272,6,FALSE)</f>
        <v>80</v>
      </c>
      <c r="QN638" s="203" t="s">
        <v>67</v>
      </c>
      <c r="QO638" s="10">
        <f>QM638*1.2</f>
        <v>96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VLOOKUP(QS638,$A$681:$F$2272,6,FALSE)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VLOOKUP(RB638,$A$681:$F$2272,6,FALSE)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VLOOKUP(RK638,$A$681:$F$2272,6,FALSE)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2338</v>
      </c>
      <c r="RV638" s="204"/>
      <c r="RW638" s="204">
        <f>VLOOKUP(RT638,$A$681:$F$2272,6,FALSE)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VLOOKUP(SC638,$A$681:$F$2272,6,FALSE)</f>
        <v>15</v>
      </c>
      <c r="SG638" s="203" t="s">
        <v>67</v>
      </c>
      <c r="SH638" s="10">
        <f>SF638*1.2</f>
        <v>18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VLOOKUP(SL638,$A$681:$F$2272,6,FALSE)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VLOOKUP(SU638,$A$681:$F$2272,6,FALSE)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VLOOKUP(TD638,$A$681:$F$2272,6,FALSE)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VLOOKUP(TM638,$A$681:$F$2272,6,FALSE)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VLOOKUP(TV638,$A$681:$F$2272,6,FALSE)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VLOOKUP(UE638,$A$681:$F$2272,6,FALSE)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VLOOKUP(UN638,$A$681:$F$2272,6,FALSE)</f>
        <v>80</v>
      </c>
      <c r="UR638" s="203" t="s">
        <v>67</v>
      </c>
      <c r="US638" s="10">
        <f>UQ638*1.2</f>
        <v>96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VLOOKUP(UW638,$A$681:$F$2272,6,FALSE)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VLOOKUP(VF638,$A$681:$F$2272,6,FALSE)</f>
        <v>31</v>
      </c>
      <c r="VJ638" s="203" t="s">
        <v>67</v>
      </c>
      <c r="VK638" s="10">
        <f>VI638*1.2</f>
        <v>37.199999999999996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VLOOKUP(VO638,$A$681:$F$2272,6,FALSE)</f>
        <v>7</v>
      </c>
      <c r="VS638" s="203" t="s">
        <v>67</v>
      </c>
      <c r="VT638" s="10">
        <f>VR638*1.2</f>
        <v>8.4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VLOOKUP(VX638,$A$681:$F$2272,6,FALSE)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VLOOKUP(WG638,$A$681:$F$2272,6,FALSE)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VLOOKUP(WP638,$A$681:$F$2272,6,FALSE)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VLOOKUP(WY638,$A$681:$F$2272,6,FALSE)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2091</v>
      </c>
      <c r="XJ638" s="204"/>
      <c r="XK638" s="204">
        <f>VLOOKUP(XH638,$A$681:$F$2272,6,FALSE)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VLOOKUP(XQ638,$A$681:$F$2272,6,FALSE)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VLOOKUP(XZ638,$A$681:$F$2272,6,FALSE)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VLOOKUP(YI638,$A$681:$F$2272,6,FALSE)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VLOOKUP(YR638,$A$681:$F$2272,6,FALSE)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VLOOKUP(ZA638,$A$681:$F$2272,6,FALSE)</f>
        <v>80</v>
      </c>
      <c r="ZE638" s="203" t="s">
        <v>67</v>
      </c>
      <c r="ZF638" s="10">
        <f>ZD638*1.2</f>
        <v>96</v>
      </c>
      <c r="ZH638" s="274"/>
      <c r="ZI638" s="203" t="s">
        <v>98</v>
      </c>
      <c r="ZJ638" s="277" t="s">
        <v>530</v>
      </c>
      <c r="ZL638" s="204"/>
      <c r="ZM638" s="204">
        <f>VLOOKUP(ZJ638,$A$681:$F$2272,6,FALSE)</f>
        <v>128</v>
      </c>
      <c r="ZN638" s="203" t="s">
        <v>67</v>
      </c>
      <c r="ZO638" s="10">
        <f>ZM638*1.2</f>
        <v>153.6</v>
      </c>
      <c r="ZQ638" s="274"/>
      <c r="ZR638" s="203" t="s">
        <v>98</v>
      </c>
      <c r="ZS638" s="277" t="s">
        <v>451</v>
      </c>
      <c r="ZU638" s="204"/>
      <c r="ZV638" s="204">
        <f>VLOOKUP(ZS638,$A$681:$F$2272,6,FALSE)</f>
        <v>8</v>
      </c>
      <c r="ZW638" s="203" t="s">
        <v>67</v>
      </c>
      <c r="ZX638" s="10">
        <f>ZV638*1.2</f>
        <v>9.6</v>
      </c>
      <c r="ZY638" s="10"/>
      <c r="ZZ638" s="274"/>
      <c r="AAA638" s="203" t="s">
        <v>98</v>
      </c>
      <c r="AAB638" s="277" t="s">
        <v>2064</v>
      </c>
      <c r="AAD638" s="204"/>
      <c r="AAE638" s="204">
        <f>VLOOKUP(AAB638,$A$681:$F$2272,6,FALSE)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VLOOKUP(AAK638,$A$681:$F$2272,6,FALSE)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VLOOKUP(AAT638,$A$681:$F$2272,6,FALSE)</f>
        <v>37</v>
      </c>
      <c r="AAX638" s="203" t="s">
        <v>67</v>
      </c>
      <c r="AAY638" s="10">
        <f>AAW638*1.2</f>
        <v>44.4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VLOOKUP(ABC638,$A$681:$F$2272,6,FALSE)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VLOOKUP(ABL638,$A$681:$F$2272,6,FALSE)</f>
        <v>8</v>
      </c>
      <c r="ABP638" s="203" t="s">
        <v>67</v>
      </c>
      <c r="ABQ638" s="10">
        <f>ABO638*1.2</f>
        <v>9.6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VLOOKUP(ABU638,$A$681:$F$2272,6,FALSE)</f>
        <v>31</v>
      </c>
      <c r="ABY638" s="203" t="s">
        <v>67</v>
      </c>
      <c r="ABZ638" s="10">
        <f>ABX638*1.2</f>
        <v>37.199999999999996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VLOOKUP(ACD638,$A$681:$F$2272,6,FALSE)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VLOOKUP(ACM638,$A$681:$F$2272,6,FALSE)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VLOOKUP(ACV638,$A$681:$F$2272,6,FALSE)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VLOOKUP(ADE638,$A$681:$F$2272,6,FALSE)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VLOOKUP(ADN638,$A$681:$F$2272,6,FALSE)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VLOOKUP(ADW638,$A$681:$F$2272,6,FALSE)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VLOOKUP(AEF638,$A$681:$F$2272,6,FALSE)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VLOOKUP(AEO638,$A$681:$F$2272,6,FALSE)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VLOOKUP(AEX638,$A$681:$F$2272,6,FALSE)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VLOOKUP(AFG638,$A$681:$F$2272,6,FALSE)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VLOOKUP(AFP638,$A$681:$F$2272,6,FALSE)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VLOOKUP(AFY638,$A$681:$F$2272,6,FALSE)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VLOOKUP(AGH638,$A$681:$F$2272,6,FALSE)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VLOOKUP(AGQ638,$A$681:$F$2272,6,FALSE)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VLOOKUP(AGZ638,$A$681:$F$2272,6,FALSE)</f>
        <v>2</v>
      </c>
      <c r="AHD638" s="203" t="s">
        <v>67</v>
      </c>
      <c r="AHE638" s="10">
        <f>AHC638*1.2</f>
        <v>2.4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VLOOKUP(AHI638,$A$681:$F$2272,6,FALSE)</f>
        <v>34</v>
      </c>
      <c r="AHM638" s="203" t="s">
        <v>67</v>
      </c>
      <c r="AHN638" s="10">
        <f>AHL638*1.2</f>
        <v>40.799999999999997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VLOOKUP(AHR638,$A$681:$F$2272,6,FALSE)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VLOOKUP(AIA638,$A$681:$F$2272,6,FALSE)</f>
        <v>87</v>
      </c>
      <c r="AIE638" s="203" t="s">
        <v>67</v>
      </c>
      <c r="AIF638" s="10">
        <f>AID638*1.2</f>
        <v>104.39999999999999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VLOOKUP(AIJ638,$A$681:$F$2272,6,FALSE)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VLOOKUP(AIS638,$A$681:$F$2272,6,FALSE)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VLOOKUP(AJB638,$A$681:$F$2272,6,FALSE)</f>
        <v>37</v>
      </c>
      <c r="AJF638" s="203" t="s">
        <v>67</v>
      </c>
      <c r="AJG638" s="10">
        <f>AJE638*1.2</f>
        <v>44.4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VLOOKUP(AJK638,$A$681:$F$2272,6,FALSE)</f>
        <v>37</v>
      </c>
      <c r="AJO638" s="203" t="s">
        <v>67</v>
      </c>
      <c r="AJP638" s="10">
        <f>AJN638*1.2</f>
        <v>44.4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VLOOKUP(AJT638,$A$681:$F$2272,6,FALSE)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VLOOKUP(AKC638,$A$681:$F$2272,6,FALSE)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VLOOKUP(AKL638,$A$681:$F$2272,6,FALSE)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2091</v>
      </c>
      <c r="AKW638" s="204"/>
      <c r="AKX638" s="204">
        <f>VLOOKUP(AKU638,$A$681:$F$2272,6,FALSE)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VLOOKUP(ALD638,$A$681:$F$2272,6,FALSE)</f>
        <v>87</v>
      </c>
      <c r="ALH638" s="203" t="s">
        <v>67</v>
      </c>
      <c r="ALI638" s="10">
        <f>ALG638*1.2</f>
        <v>104.39999999999999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VLOOKUP(ALM638,$A$681:$F$2272,6,FALSE)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VLOOKUP(ALV638,$A$681:$F$2272,6,FALSE)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VLOOKUP(AME638,$A$681:$F$2272,6,FALSE)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VLOOKUP(AMN638,$A$681:$F$2272,6,FALSE)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2338</v>
      </c>
      <c r="AMY638" s="204"/>
      <c r="AMZ638" s="204">
        <f>VLOOKUP(AMW638,$A$681:$F$2272,6,FALSE)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VLOOKUP(ANF638,$A$681:$F$2272,6,FALSE)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VLOOKUP(ANO638,$A$681:$F$2272,6,FALSE)</f>
        <v>83</v>
      </c>
      <c r="ANS638" s="203" t="s">
        <v>67</v>
      </c>
      <c r="ANT638" s="10">
        <f>ANR638*1.2</f>
        <v>99.6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VLOOKUP(ANX638,$A$681:$F$2272,6,FALSE)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VLOOKUP(AOG638,$A$681:$F$2272,6,FALSE)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VLOOKUP(AOP638,$A$681:$F$2272,6,FALSE)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VLOOKUP(AOY638,$A$681:$F$2272,6,FALSE)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2091</v>
      </c>
      <c r="APJ638" s="204"/>
      <c r="APK638" s="204">
        <f>VLOOKUP(APH638,$A$681:$F$2272,6,FALSE)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VLOOKUP(APQ638,$A$681:$F$2272,6,FALSE)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VLOOKUP(APZ638,$A$681:$F$2272,6,FALSE)</f>
        <v>87</v>
      </c>
      <c r="AQD638" s="203" t="s">
        <v>67</v>
      </c>
      <c r="AQE638" s="10">
        <f>AQC638*1.2</f>
        <v>104.39999999999999</v>
      </c>
      <c r="AQF638" s="10"/>
      <c r="AQG638" s="274"/>
    </row>
    <row r="639" spans="1:1125" s="14" customFormat="1" ht="15">
      <c r="A639" s="203" t="s">
        <v>99</v>
      </c>
      <c r="B639" s="277" t="s">
        <v>2338</v>
      </c>
      <c r="D639" s="204"/>
      <c r="E639" s="204">
        <f>VLOOKUP(B639,$A$681:$F$2272,6,FALSE)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VLOOKUP(K639,$A$681:$F$2272,6,FALSE)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VLOOKUP(T639,$A$681:$F$2272,6,FALSE)</f>
        <v>87</v>
      </c>
      <c r="X639" s="203" t="s">
        <v>69</v>
      </c>
      <c r="Y639" s="10">
        <f>W639*1.1</f>
        <v>95.7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VLOOKUP(AC639,$A$681:$F$2272,6,FALSE)</f>
        <v>21</v>
      </c>
      <c r="AG639" s="203" t="s">
        <v>69</v>
      </c>
      <c r="AH639" s="10">
        <f>AF639*1.1</f>
        <v>23.1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VLOOKUP(AL639,$A$681:$F$2272,6,FALSE)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VLOOKUP(AU639,$A$681:$F$2272,6,FALSE)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VLOOKUP(BD639,$A$681:$F$2272,6,FALSE)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VLOOKUP(BM639,$A$681:$F$2272,6,FALSE)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VLOOKUP(BV639,$A$681:$F$2272,6,FALSE)</f>
        <v>87</v>
      </c>
      <c r="BZ639" s="203" t="s">
        <v>69</v>
      </c>
      <c r="CA639" s="10">
        <f>BY639*1.1</f>
        <v>95.7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VLOOKUP(CE639,$A$681:$F$2272,6,FALSE)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2338</v>
      </c>
      <c r="CP639" s="204"/>
      <c r="CQ639" s="204">
        <f>VLOOKUP(CN639,$A$681:$F$2272,6,FALSE)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VLOOKUP(CW639,$A$681:$F$2272,6,FALSE)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2524</v>
      </c>
      <c r="DH639" s="204"/>
      <c r="DI639" s="204">
        <f>VLOOKUP(DF639,$A$681:$F$2272,6,FALSE)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VLOOKUP(DO639,$A$681:$F$2272,6,FALSE)</f>
        <v>128</v>
      </c>
      <c r="DS639" s="203" t="s">
        <v>69</v>
      </c>
      <c r="DT639" s="10">
        <f>DR639*1.1</f>
        <v>140.80000000000001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VLOOKUP(DX639,$A$681:$F$2272,6,FALSE)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VLOOKUP(EG639,$A$681:$F$2272,6,FALSE)</f>
        <v>73</v>
      </c>
      <c r="EK639" s="203" t="s">
        <v>69</v>
      </c>
      <c r="EL639" s="10">
        <f>EJ639*1.1</f>
        <v>80.300000000000011</v>
      </c>
      <c r="EM639" s="10"/>
      <c r="EN639" s="268"/>
      <c r="EO639" s="203" t="s">
        <v>99</v>
      </c>
      <c r="EP639" s="277" t="s">
        <v>2091</v>
      </c>
      <c r="ER639" s="204"/>
      <c r="ES639" s="204">
        <f>VLOOKUP(EP639,$A$681:$F$2272,6,FALSE)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VLOOKUP(EY639,$A$681:$F$2272,6,FALSE)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VLOOKUP(FH639,$A$681:$F$2272,6,FALSE)</f>
        <v>7</v>
      </c>
      <c r="FL639" s="203" t="s">
        <v>69</v>
      </c>
      <c r="FM639" s="10">
        <f>FK639*1.1</f>
        <v>7.7000000000000011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VLOOKUP(FQ639,$A$681:$F$2272,6,FALSE)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VLOOKUP(FZ639,$A$681:$F$2272,6,FALSE)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VLOOKUP(GI639,$A$681:$F$2272,6,FALSE)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VLOOKUP(GR639,$A$681:$F$2272,6,FALSE)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VLOOKUP(HA639,$A$681:$F$2272,6,FALSE)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VLOOKUP(HJ639,$A$681:$F$2272,6,FALSE)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VLOOKUP(HS639,$A$681:$F$2272,6,FALSE)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VLOOKUP(IB639,$A$681:$F$2272,6,FALSE)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VLOOKUP(IK639,$A$681:$F$2272,6,FALSE)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VLOOKUP(IT639,$A$681:$F$2272,6,FALSE)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VLOOKUP(JC639,$A$681:$F$2272,6,FALSE)</f>
        <v>90</v>
      </c>
      <c r="JG639" s="203" t="s">
        <v>69</v>
      </c>
      <c r="JH639" s="10">
        <f>JF639*1.1</f>
        <v>99.000000000000014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VLOOKUP(JL639,$A$681:$F$2272,6,FALSE)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VLOOKUP(JU639,$A$681:$F$2272,6,FALSE)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VLOOKUP(KD639,$A$681:$F$2272,6,FALSE)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VLOOKUP(KM639,$A$681:$F$2272,6,FALSE)</f>
        <v>2</v>
      </c>
      <c r="KQ639" s="203" t="s">
        <v>69</v>
      </c>
      <c r="KR639" s="10">
        <f>KP639*1.1</f>
        <v>2.2000000000000002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VLOOKUP(KV639,$A$681:$F$2272,6,FALSE)</f>
        <v>128</v>
      </c>
      <c r="KZ639" s="203" t="s">
        <v>69</v>
      </c>
      <c r="LA639" s="10">
        <f>KY639*1.1</f>
        <v>140.80000000000001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VLOOKUP(LE639,$A$681:$F$2272,6,FALSE)</f>
        <v>7</v>
      </c>
      <c r="LI639" s="203" t="s">
        <v>69</v>
      </c>
      <c r="LJ639" s="10">
        <f>LH639*1.1</f>
        <v>7.7000000000000011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VLOOKUP(LN639,$A$681:$F$2272,6,FALSE)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VLOOKUP(LW639,$A$681:$F$2272,6,FALSE)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VLOOKUP(MF639,$A$681:$F$2272,6,FALSE)</f>
        <v>87</v>
      </c>
      <c r="MJ639" s="203" t="s">
        <v>69</v>
      </c>
      <c r="MK639" s="10">
        <f>MI639*1.1</f>
        <v>95.7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VLOOKUP(MO639,$A$681:$F$2272,6,FALSE)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VLOOKUP(MX639,$A$681:$F$2272,6,FALSE)</f>
        <v>90</v>
      </c>
      <c r="NB639" s="203" t="s">
        <v>69</v>
      </c>
      <c r="NC639" s="10">
        <f>NA639*1.1</f>
        <v>99.000000000000014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VLOOKUP(NG639,$A$681:$F$2272,6,FALSE)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VLOOKUP(NP639,$A$681:$F$2272,6,FALSE)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VLOOKUP(NY639,$A$681:$F$2272,6,FALSE)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VLOOKUP(OH639,$A$681:$F$2272,6,FALSE)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VLOOKUP(OQ639,$A$681:$F$2272,6,FALSE)</f>
        <v>73</v>
      </c>
      <c r="OU639" s="203" t="s">
        <v>69</v>
      </c>
      <c r="OV639" s="10">
        <f>OT639*1.1</f>
        <v>80.300000000000011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VLOOKUP(OZ639,$A$681:$F$2272,6,FALSE)</f>
        <v>80</v>
      </c>
      <c r="PD639" s="203" t="s">
        <v>69</v>
      </c>
      <c r="PE639" s="10">
        <f>PC639*1.1</f>
        <v>88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VLOOKUP(PI639,$A$681:$F$2272,6,FALSE)</f>
        <v>31</v>
      </c>
      <c r="PM639" s="203" t="s">
        <v>69</v>
      </c>
      <c r="PN639" s="10">
        <f>PL639*1.1</f>
        <v>34.1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VLOOKUP(PR639,$A$681:$F$2272,6,FALSE)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VLOOKUP(QA639,$A$681:$F$2272,6,FALSE)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VLOOKUP(QJ639,$A$681:$F$2272,6,FALSE)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VLOOKUP(QS639,$A$681:$F$2272,6,FALSE)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VLOOKUP(RB639,$A$681:$F$2272,6,FALSE)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VLOOKUP(RK639,$A$681:$F$2272,6,FALSE)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VLOOKUP(RT639,$A$681:$F$2272,6,FALSE)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VLOOKUP(SC639,$A$681:$F$2272,6,FALSE)</f>
        <v>90</v>
      </c>
      <c r="SG639" s="203" t="s">
        <v>69</v>
      </c>
      <c r="SH639" s="10">
        <f>SF639*1.1</f>
        <v>99.000000000000014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VLOOKUP(SL639,$A$681:$F$2272,6,FALSE)</f>
        <v>7</v>
      </c>
      <c r="SP639" s="203" t="s">
        <v>69</v>
      </c>
      <c r="SQ639" s="10">
        <f>SO639*1.1</f>
        <v>7.7000000000000011</v>
      </c>
      <c r="SR639" s="10"/>
      <c r="SS639" s="274"/>
      <c r="ST639" s="203" t="s">
        <v>99</v>
      </c>
      <c r="SU639" s="277" t="s">
        <v>2091</v>
      </c>
      <c r="SW639" s="204"/>
      <c r="SX639" s="204">
        <f>VLOOKUP(SU639,$A$681:$F$2272,6,FALSE)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VLOOKUP(TD639,$A$681:$F$2272,6,FALSE)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VLOOKUP(TM639,$A$681:$F$2272,6,FALSE)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VLOOKUP(TV639,$A$681:$F$2272,6,FALSE)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VLOOKUP(UE639,$A$681:$F$2272,6,FALSE)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VLOOKUP(UN639,$A$681:$F$2272,6,FALSE)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2091</v>
      </c>
      <c r="UY639" s="204"/>
      <c r="UZ639" s="204">
        <f>VLOOKUP(UW639,$A$681:$F$2272,6,FALSE)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VLOOKUP(VF639,$A$681:$F$2272,6,FALSE)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VLOOKUP(VO639,$A$681:$F$2272,6,FALSE)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VLOOKUP(VX639,$A$681:$F$2272,6,FALSE)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VLOOKUP(WG639,$A$681:$F$2272,6,FALSE)</f>
        <v>2</v>
      </c>
      <c r="WK639" s="203" t="s">
        <v>69</v>
      </c>
      <c r="WL639" s="10">
        <f>WJ639*1.1</f>
        <v>2.2000000000000002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VLOOKUP(WP639,$A$681:$F$2272,6,FALSE)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VLOOKUP(WY639,$A$681:$F$2272,6,FALSE)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VLOOKUP(XH639,$A$681:$F$2272,6,FALSE)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VLOOKUP(XQ639,$A$681:$F$2272,6,FALSE)</f>
        <v>87</v>
      </c>
      <c r="XU639" s="203" t="s">
        <v>69</v>
      </c>
      <c r="XV639" s="10">
        <f>XT639*1.1</f>
        <v>95.7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VLOOKUP(XZ639,$A$681:$F$2272,6,FALSE)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VLOOKUP(YI639,$A$681:$F$2272,6,FALSE)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VLOOKUP(YR639,$A$681:$F$2272,6,FALSE)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VLOOKUP(ZA639,$A$681:$F$2272,6,FALSE)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VLOOKUP(ZJ639,$A$681:$F$2272,6,FALSE)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VLOOKUP(ZS639,$A$681:$F$2272,6,FALSE)</f>
        <v>128</v>
      </c>
      <c r="ZW639" s="203" t="s">
        <v>69</v>
      </c>
      <c r="ZX639" s="10">
        <f>ZV639*1.1</f>
        <v>140.80000000000001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VLOOKUP(AAB639,$A$681:$F$2272,6,FALSE)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VLOOKUP(AAK639,$A$681:$F$2272,6,FALSE)</f>
        <v>90</v>
      </c>
      <c r="AAO639" s="203" t="s">
        <v>69</v>
      </c>
      <c r="AAP639" s="10">
        <f>AAN639*1.1</f>
        <v>99.000000000000014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VLOOKUP(AAT639,$A$681:$F$2272,6,FALSE)</f>
        <v>80</v>
      </c>
      <c r="AAX639" s="203" t="s">
        <v>69</v>
      </c>
      <c r="AAY639" s="10">
        <f>AAW639*1.1</f>
        <v>88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VLOOKUP(ABC639,$A$681:$F$2272,6,FALSE)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VLOOKUP(ABL639,$A$681:$F$2272,6,FALSE)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VLOOKUP(ABU639,$A$681:$F$2272,6,FALSE)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VLOOKUP(ACD639,$A$681:$F$2272,6,FALSE)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VLOOKUP(ACM639,$A$681:$F$2272,6,FALSE)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VLOOKUP(ACV639,$A$681:$F$2272,6,FALSE)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VLOOKUP(ADE639,$A$681:$F$2272,6,FALSE)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VLOOKUP(ADN639,$A$681:$F$2272,6,FALSE)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VLOOKUP(ADW639,$A$681:$F$2272,6,FALSE)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VLOOKUP(AEF639,$A$681:$F$2272,6,FALSE)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VLOOKUP(AEO639,$A$681:$F$2272,6,FALSE)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VLOOKUP(AEX639,$A$681:$F$2272,6,FALSE)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VLOOKUP(AFG639,$A$681:$F$2272,6,FALSE)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VLOOKUP(AFP639,$A$681:$F$2272,6,FALSE)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VLOOKUP(AFY639,$A$681:$F$2272,6,FALSE)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VLOOKUP(AGH639,$A$681:$F$2272,6,FALSE)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VLOOKUP(AGQ639,$A$681:$F$2272,6,FALSE)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2338</v>
      </c>
      <c r="AHB639" s="204"/>
      <c r="AHC639" s="204">
        <f>VLOOKUP(AGZ639,$A$681:$F$2272,6,FALSE)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VLOOKUP(AHI639,$A$681:$F$2272,6,FALSE)</f>
        <v>23</v>
      </c>
      <c r="AHM639" s="203" t="s">
        <v>69</v>
      </c>
      <c r="AHN639" s="10">
        <f>AHL639*1.1</f>
        <v>25.3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VLOOKUP(AHR639,$A$681:$F$2272,6,FALSE)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VLOOKUP(AIA639,$A$681:$F$2272,6,FALSE)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VLOOKUP(AIJ639,$A$681:$F$2272,6,FALSE)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VLOOKUP(AIS639,$A$681:$F$2272,6,FALSE)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VLOOKUP(AJB639,$A$681:$F$2272,6,FALSE)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VLOOKUP(AJK639,$A$681:$F$2272,6,FALSE)</f>
        <v>15</v>
      </c>
      <c r="AJO639" s="203" t="s">
        <v>69</v>
      </c>
      <c r="AJP639" s="10">
        <f>AJN639*1.1</f>
        <v>16.5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VLOOKUP(AJT639,$A$681:$F$2272,6,FALSE)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VLOOKUP(AKC639,$A$681:$F$2272,6,FALSE)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VLOOKUP(AKL639,$A$681:$F$2272,6,FALSE)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VLOOKUP(AKU639,$A$681:$F$2272,6,FALSE)</f>
        <v>21</v>
      </c>
      <c r="AKY639" s="203" t="s">
        <v>69</v>
      </c>
      <c r="AKZ639" s="10">
        <f>AKX639*1.1</f>
        <v>23.1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VLOOKUP(ALD639,$A$681:$F$2272,6,FALSE)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VLOOKUP(ALM639,$A$681:$F$2272,6,FALSE)</f>
        <v>87</v>
      </c>
      <c r="ALQ639" s="203" t="s">
        <v>69</v>
      </c>
      <c r="ALR639" s="10">
        <f>ALP639*1.1</f>
        <v>95.7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VLOOKUP(ALV639,$A$681:$F$2272,6,FALSE)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VLOOKUP(AME639,$A$681:$F$2272,6,FALSE)</f>
        <v>37</v>
      </c>
      <c r="AMI639" s="203" t="s">
        <v>69</v>
      </c>
      <c r="AMJ639" s="10">
        <f>AMH639*1.1</f>
        <v>40.700000000000003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VLOOKUP(AMN639,$A$681:$F$2272,6,FALSE)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VLOOKUP(AMW639,$A$681:$F$2272,6,FALSE)</f>
        <v>15</v>
      </c>
      <c r="ANA639" s="203" t="s">
        <v>69</v>
      </c>
      <c r="ANB639" s="10">
        <f>AMZ639*1.1</f>
        <v>16.5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VLOOKUP(ANF639,$A$681:$F$2272,6,FALSE)</f>
        <v>128</v>
      </c>
      <c r="ANJ639" s="203" t="s">
        <v>69</v>
      </c>
      <c r="ANK639" s="10">
        <f>ANI639*1.1</f>
        <v>140.80000000000001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VLOOKUP(ANO639,$A$681:$F$2272,6,FALSE)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VLOOKUP(ANX639,$A$681:$F$2272,6,FALSE)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VLOOKUP(AOG639,$A$681:$F$2272,6,FALSE)</f>
        <v>90</v>
      </c>
      <c r="AOK639" s="203" t="s">
        <v>69</v>
      </c>
      <c r="AOL639" s="10">
        <f>AOJ639*1.1</f>
        <v>99.000000000000014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VLOOKUP(AOP639,$A$681:$F$2272,6,FALSE)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VLOOKUP(AOY639,$A$681:$F$2272,6,FALSE)</f>
        <v>80</v>
      </c>
      <c r="APC639" s="203" t="s">
        <v>69</v>
      </c>
      <c r="APD639" s="10">
        <f>APB639*1.1</f>
        <v>88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VLOOKUP(APH639,$A$681:$F$2272,6,FALSE)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VLOOKUP(APQ639,$A$681:$F$2272,6,FALSE)</f>
        <v>37</v>
      </c>
      <c r="APU639" s="203" t="s">
        <v>69</v>
      </c>
      <c r="APV639" s="10">
        <f>APT639*1.1</f>
        <v>40.700000000000003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VLOOKUP(APZ639,$A$681:$F$2272,6,FALSE)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205.6</v>
      </c>
      <c r="I640" s="268"/>
      <c r="J640" s="203"/>
      <c r="K640" s="415"/>
      <c r="M640" s="203"/>
      <c r="N640" s="203"/>
      <c r="O640" s="203"/>
      <c r="P640" s="10"/>
      <c r="Q640" s="10">
        <f>SUM(P635:P639)</f>
        <v>238</v>
      </c>
      <c r="R640" s="268"/>
      <c r="S640" s="203"/>
      <c r="T640" s="265"/>
      <c r="V640" s="203"/>
      <c r="W640" s="203"/>
      <c r="X640" s="203"/>
      <c r="Y640" s="10"/>
      <c r="Z640" s="10">
        <f>SUM(Y635:Y639)</f>
        <v>305.89999999999998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158.29999999999998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310.7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254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212.39999999999998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545.79999999999995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267.89999999999998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469.6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378.8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487.20000000000005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245.1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515.09999999999991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153.30000000000001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319.7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321.60000000000002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334.7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399.4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458.4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428.5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406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498.9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432.9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398.5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310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253.5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396.5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418.20000000000005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247.59999999999997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307.10000000000002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197.79999999999998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529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294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587.5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244.70000000000002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528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469.9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525.90000000000009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353.69999999999993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308.89999999999998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97.600000000000009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322.5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221.5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438.7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230.39999999999998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111.90000000000002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484.7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204.8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355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362.8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442.6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528.20000000000005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51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256.5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191.4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179.60000000000002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344.35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235.8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122.75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245.40000000000003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301.90000000000003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207.5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256.39999999999998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393.00000000000006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364.29999999999995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428.6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311.79999999999995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107.4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285.8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243.05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229.2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100.70000000000002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207.3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76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378.09999999999997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361.09999999999997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137.69999999999999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212.8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156.20000000000002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363.2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248.2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273.79999999999995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228.3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161.69999999999999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213.7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280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260.99999999999994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347.9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234.50000000000003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449.3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456.3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233.10000000000002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425.09999999999997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520.79999999999995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233.20000000000002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501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69.899999999999991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316.59999999999997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641.19999999999993</v>
      </c>
      <c r="AQG640" s="274"/>
    </row>
    <row r="641" spans="1:1125" s="14" customFormat="1" ht="15">
      <c r="A641" s="203" t="s">
        <v>100</v>
      </c>
      <c r="B641" s="277" t="s">
        <v>2568</v>
      </c>
      <c r="D641" s="284">
        <f>IF(C641="Kopman",1.8,1)</f>
        <v>1</v>
      </c>
      <c r="E641" s="204">
        <f>VLOOKUP(B641,$A$681:$F$2272,6,FALSE)</f>
        <v>83</v>
      </c>
      <c r="F641" s="203" t="s">
        <v>61</v>
      </c>
      <c r="G641" s="10">
        <f>E641*1.5</f>
        <v>124.5</v>
      </c>
      <c r="H641" s="10"/>
      <c r="I641" s="268"/>
      <c r="J641" s="203" t="s">
        <v>100</v>
      </c>
      <c r="K641" s="277" t="s">
        <v>2568</v>
      </c>
      <c r="M641" s="284">
        <f>IF(L641="Kopman",1.8,1)</f>
        <v>1</v>
      </c>
      <c r="N641" s="204">
        <f>VLOOKUP(K641,$A$681:$F$2272,6,FALSE)</f>
        <v>83</v>
      </c>
      <c r="O641" s="203" t="s">
        <v>61</v>
      </c>
      <c r="P641" s="10">
        <f>N641*1.5*M641</f>
        <v>124.5</v>
      </c>
      <c r="Q641" s="10"/>
      <c r="R641" s="268"/>
      <c r="S641" s="203" t="s">
        <v>100</v>
      </c>
      <c r="T641" s="277" t="s">
        <v>2568</v>
      </c>
      <c r="V641" s="284">
        <f>IF(U641="Kopman",1.8,1)</f>
        <v>1</v>
      </c>
      <c r="W641" s="204">
        <f>VLOOKUP(T641,$A$681:$F$2272,6,FALSE)</f>
        <v>83</v>
      </c>
      <c r="X641" s="203" t="s">
        <v>61</v>
      </c>
      <c r="Y641" s="10">
        <f>W641*1.5*V641</f>
        <v>124.5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VLOOKUP(AC641,$A$681:$F$2272,6,FALSE)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VLOOKUP(AL641,$A$681:$F$2272,6,FALSE)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2023</v>
      </c>
      <c r="AW641" s="284">
        <f>IF(AV641="Kopman",1.8,1)</f>
        <v>1.8</v>
      </c>
      <c r="AX641" s="204">
        <f>VLOOKUP(AU641,$A$681:$F$2272,6,FALSE)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2023</v>
      </c>
      <c r="BF641" s="284">
        <f>IF(BE641="Kopman",1.8,1)</f>
        <v>1.8</v>
      </c>
      <c r="BG641" s="204">
        <f>VLOOKUP(BD641,$A$681:$F$2272,6,FALSE)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2568</v>
      </c>
      <c r="BN641" s="416" t="s">
        <v>2023</v>
      </c>
      <c r="BO641" s="284">
        <f>IF(BN641="Kopman",1.8,1)</f>
        <v>1.8</v>
      </c>
      <c r="BP641" s="204">
        <f>VLOOKUP(BM641,$A$681:$F$2272,6,FALSE)</f>
        <v>83</v>
      </c>
      <c r="BQ641" s="203" t="s">
        <v>61</v>
      </c>
      <c r="BR641" s="10">
        <f>BP641*1.5*BO641</f>
        <v>224.1</v>
      </c>
      <c r="BS641" s="10"/>
      <c r="BT641" s="268"/>
      <c r="BU641" s="203" t="s">
        <v>100</v>
      </c>
      <c r="BV641" s="277" t="s">
        <v>2568</v>
      </c>
      <c r="BX641" s="284">
        <f>IF(BW641="Kopman",1.8,1)</f>
        <v>1</v>
      </c>
      <c r="BY641" s="204">
        <f>VLOOKUP(BV641,$A$681:$F$2272,6,FALSE)</f>
        <v>83</v>
      </c>
      <c r="BZ641" s="203" t="s">
        <v>61</v>
      </c>
      <c r="CA641" s="10">
        <f>BY641*1.5*BX641</f>
        <v>124.5</v>
      </c>
      <c r="CB641" s="10"/>
      <c r="CC641" s="268"/>
      <c r="CD641" s="203" t="s">
        <v>100</v>
      </c>
      <c r="CE641" s="417" t="s">
        <v>454</v>
      </c>
      <c r="CF641" s="416" t="s">
        <v>2023</v>
      </c>
      <c r="CG641" s="284">
        <f>IF(CF641="Kopman",1.8,1)</f>
        <v>1.8</v>
      </c>
      <c r="CH641" s="204">
        <f>VLOOKUP(CE641,$A$681:$F$2272,6,FALSE)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2568</v>
      </c>
      <c r="CP641" s="284">
        <f>IF(CO641="Kopman",1.8,1)</f>
        <v>1</v>
      </c>
      <c r="CQ641" s="204">
        <f>VLOOKUP(CN641,$A$681:$F$2272,6,FALSE)</f>
        <v>83</v>
      </c>
      <c r="CR641" s="203" t="s">
        <v>61</v>
      </c>
      <c r="CS641" s="10">
        <f>CQ641*1.5*CP641</f>
        <v>124.5</v>
      </c>
      <c r="CT641" s="10"/>
      <c r="CU641" s="268"/>
      <c r="CV641" s="203" t="s">
        <v>100</v>
      </c>
      <c r="CW641" s="277" t="s">
        <v>2568</v>
      </c>
      <c r="CY641" s="284">
        <f>IF(CX641="Kopman",1.8,1)</f>
        <v>1</v>
      </c>
      <c r="CZ641" s="204">
        <f>VLOOKUP(CW641,$A$681:$F$2272,6,FALSE)</f>
        <v>83</v>
      </c>
      <c r="DA641" s="203" t="s">
        <v>61</v>
      </c>
      <c r="DB641" s="10">
        <f>CZ641*1.5*CY641</f>
        <v>124.5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VLOOKUP(DF641,$A$681:$F$2272,6,FALSE)</f>
        <v>35</v>
      </c>
      <c r="DJ641" s="203" t="s">
        <v>61</v>
      </c>
      <c r="DK641" s="10">
        <f>DI641*1.5*DH641</f>
        <v>52.5</v>
      </c>
      <c r="DL641" s="10"/>
      <c r="DM641" s="268"/>
      <c r="DN641" s="203" t="s">
        <v>100</v>
      </c>
      <c r="DO641" s="417" t="s">
        <v>454</v>
      </c>
      <c r="DP641" s="416" t="s">
        <v>2023</v>
      </c>
      <c r="DQ641" s="284">
        <f>IF(DP641="Kopman",1.8,1)</f>
        <v>1.8</v>
      </c>
      <c r="DR641" s="204">
        <f>VLOOKUP(DO641,$A$681:$F$2272,6,FALSE)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VLOOKUP(DX641,$A$681:$F$2272,6,FALSE)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2568</v>
      </c>
      <c r="EI641" s="284">
        <f>IF(EH641="Kopman",1.8,1)</f>
        <v>1</v>
      </c>
      <c r="EJ641" s="204">
        <f>VLOOKUP(EG641,$A$681:$F$2272,6,FALSE)</f>
        <v>83</v>
      </c>
      <c r="EK641" s="203" t="s">
        <v>61</v>
      </c>
      <c r="EL641" s="10">
        <f>EJ641*1.5*EI641</f>
        <v>124.5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VLOOKUP(EP641,$A$681:$F$2272,6,FALSE)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VLOOKUP(EY641,$A$681:$F$2272,6,FALSE)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2568</v>
      </c>
      <c r="FJ641" s="284">
        <f>IF(FI641="Kopman",1.8,1)</f>
        <v>1</v>
      </c>
      <c r="FK641" s="204">
        <f>VLOOKUP(FH641,$A$681:$F$2272,6,FALSE)</f>
        <v>83</v>
      </c>
      <c r="FL641" s="203" t="s">
        <v>61</v>
      </c>
      <c r="FM641" s="10">
        <f>FK641*1.5*FJ641</f>
        <v>124.5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VLOOKUP(FQ641,$A$681:$F$2272,6,FALSE)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VLOOKUP(FZ641,$A$681:$F$2272,6,FALSE)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VLOOKUP(GI641,$A$681:$F$2272,6,FALSE)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2568</v>
      </c>
      <c r="GT641" s="284">
        <f>IF(GS641="Kopman",1.8,1)</f>
        <v>1</v>
      </c>
      <c r="GU641" s="204">
        <f>VLOOKUP(GR641,$A$681:$F$2272,6,FALSE)</f>
        <v>83</v>
      </c>
      <c r="GV641" s="203" t="s">
        <v>61</v>
      </c>
      <c r="GW641" s="10">
        <f>GU641*1.5</f>
        <v>124.5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VLOOKUP(HA641,$A$681:$F$2272,6,FALSE)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VLOOKUP(HJ641,$A$681:$F$2272,6,FALSE)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VLOOKUP(HS641,$A$681:$F$2272,6,FALSE)</f>
        <v>27</v>
      </c>
      <c r="HW641" s="203" t="s">
        <v>61</v>
      </c>
      <c r="HX641" s="10">
        <f>HV641*1.5*HU641</f>
        <v>40.5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VLOOKUP(IB641,$A$681:$F$2272,6,FALSE)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VLOOKUP(IK641,$A$681:$F$2272,6,FALSE)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2568</v>
      </c>
      <c r="IV641" s="284">
        <f>IF(IU641="Kopman",1.8,1)</f>
        <v>1</v>
      </c>
      <c r="IW641" s="204">
        <f>VLOOKUP(IT641,$A$681:$F$2272,6,FALSE)</f>
        <v>83</v>
      </c>
      <c r="IX641" s="203" t="s">
        <v>61</v>
      </c>
      <c r="IY641" s="10">
        <f>IW641*1.5*IV641</f>
        <v>124.5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VLOOKUP(JC641,$A$681:$F$2272,6,FALSE)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VLOOKUP(JL641,$A$681:$F$2272,6,FALSE)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VLOOKUP(JU641,$A$681:$F$2272,6,FALSE)</f>
        <v>35</v>
      </c>
      <c r="JY641" s="203" t="s">
        <v>61</v>
      </c>
      <c r="JZ641" s="10">
        <f>JX641*1.5*JW641</f>
        <v>52.5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VLOOKUP(KD641,$A$681:$F$2272,6,FALSE)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VLOOKUP(KM641,$A$681:$F$2272,6,FALSE)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2023</v>
      </c>
      <c r="KX641" s="284">
        <f>IF(KW641="Kopman",1.8,1)</f>
        <v>1.8</v>
      </c>
      <c r="KY641" s="204">
        <f>VLOOKUP(KV641,$A$681:$F$2272,6,FALSE)</f>
        <v>35</v>
      </c>
      <c r="KZ641" s="203" t="s">
        <v>61</v>
      </c>
      <c r="LA641" s="10">
        <f>KY641*1.5*KX641</f>
        <v>94.5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VLOOKUP(LE641,$A$681:$F$2272,6,FALSE)</f>
        <v>27</v>
      </c>
      <c r="LI641" s="203" t="s">
        <v>61</v>
      </c>
      <c r="LJ641" s="10">
        <f>LH641*1.5*LG641</f>
        <v>40.5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VLOOKUP(LN641,$A$681:$F$2272,6,FALSE)</f>
        <v>35</v>
      </c>
      <c r="LR641" s="203" t="s">
        <v>61</v>
      </c>
      <c r="LS641" s="10">
        <f>LQ641*1.5*LP641</f>
        <v>52.5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VLOOKUP(LW641,$A$681:$F$2272,6,FALSE)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VLOOKUP(MF641,$A$681:$F$2272,6,FALSE)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VLOOKUP(MO641,$A$681:$F$2272,6,FALSE)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17" t="s">
        <v>454</v>
      </c>
      <c r="MY641" s="416" t="s">
        <v>2023</v>
      </c>
      <c r="MZ641" s="284">
        <f>IF(MY641="Kopman",1.8,1)</f>
        <v>1.8</v>
      </c>
      <c r="NA641" s="204">
        <f>VLOOKUP(MX641,$A$681:$F$2272,6,FALSE)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VLOOKUP(NG641,$A$681:$F$2272,6,FALSE)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VLOOKUP(NP641,$A$681:$F$2272,6,FALSE)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VLOOKUP(NY641,$A$681:$F$2272,6,FALSE)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VLOOKUP(OH641,$A$681:$F$2272,6,FALSE)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VLOOKUP(OQ641,$A$681:$F$2272,6,FALSE)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VLOOKUP(OZ641,$A$681:$F$2272,6,FALSE)</f>
        <v>35</v>
      </c>
      <c r="PD641" s="203" t="s">
        <v>61</v>
      </c>
      <c r="PE641" s="10">
        <f>PC641*1.5*PB641</f>
        <v>52.5</v>
      </c>
      <c r="PF641" s="10"/>
      <c r="PG641" s="268"/>
      <c r="PH641" s="203" t="s">
        <v>100</v>
      </c>
      <c r="PI641" s="277" t="s">
        <v>2568</v>
      </c>
      <c r="PJ641" s="416" t="s">
        <v>2023</v>
      </c>
      <c r="PK641" s="284">
        <f>IF(PJ641="Kopman",1.8,1)</f>
        <v>1.8</v>
      </c>
      <c r="PL641" s="204">
        <f>VLOOKUP(PI641,$A$681:$F$2272,6,FALSE)</f>
        <v>83</v>
      </c>
      <c r="PM641" s="203" t="s">
        <v>61</v>
      </c>
      <c r="PN641" s="10">
        <f>PL641*1.5*PK641</f>
        <v>224.1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VLOOKUP(PR641,$A$681:$F$2272,6,FALSE)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VLOOKUP(QA641,$A$681:$F$2272,6,FALSE)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VLOOKUP(QJ641,$A$681:$F$2272,6,FALSE)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VLOOKUP(QS641,$A$681:$F$2272,6,FALSE)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VLOOKUP(RB641,$A$681:$F$2272,6,FALSE)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VLOOKUP(RK641,$A$681:$F$2272,6,FALSE)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VLOOKUP(RT641,$A$681:$F$2272,6,FALSE)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VLOOKUP(SC641,$A$681:$F$2272,6,FALSE)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2568</v>
      </c>
      <c r="SN641" s="284">
        <f>IF(SM641="Kopman",1.8,1)</f>
        <v>1</v>
      </c>
      <c r="SO641" s="204">
        <f>VLOOKUP(SL641,$A$681:$F$2272,6,FALSE)</f>
        <v>83</v>
      </c>
      <c r="SP641" s="203" t="s">
        <v>61</v>
      </c>
      <c r="SQ641" s="10">
        <f>SO641*1.5*SN641</f>
        <v>124.5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VLOOKUP(SU641,$A$681:$F$2272,6,FALSE)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VLOOKUP(TD641,$A$681:$F$2272,6,FALSE)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VLOOKUP(TM641,$A$681:$F$2272,6,FALSE)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2568</v>
      </c>
      <c r="TX641" s="284">
        <f>IF(TW641="Kopman",1.8,1)</f>
        <v>1</v>
      </c>
      <c r="TY641" s="204">
        <f>VLOOKUP(TV641,$A$681:$F$2272,6,FALSE)</f>
        <v>83</v>
      </c>
      <c r="TZ641" s="203" t="s">
        <v>61</v>
      </c>
      <c r="UA641" s="10">
        <f>TY641*1.5*TX641</f>
        <v>124.5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VLOOKUP(UE641,$A$681:$F$2272,6,FALSE)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VLOOKUP(UN641,$A$681:$F$2272,6,FALSE)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VLOOKUP(UW641,$A$681:$F$2272,6,FALSE)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2621</v>
      </c>
      <c r="VH641" s="284">
        <f>IF(VG641="Kopman",1.8,1)</f>
        <v>1</v>
      </c>
      <c r="VI641" s="204">
        <f>VLOOKUP(VF641,$A$681:$F$2272,6,FALSE)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VLOOKUP(VO641,$A$681:$F$2272,6,FALSE)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VLOOKUP(VX641,$A$681:$F$2272,6,FALSE)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VLOOKUP(WG641,$A$681:$F$2272,6,FALSE)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VLOOKUP(WP641,$A$681:$F$2272,6,FALSE)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VLOOKUP(WY641,$A$681:$F$2272,6,FALSE)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2568</v>
      </c>
      <c r="XJ641" s="284">
        <f>IF(XI641="Kopman",1.8,1)</f>
        <v>1</v>
      </c>
      <c r="XK641" s="204">
        <f>VLOOKUP(XH641,$A$681:$F$2272,6,FALSE)</f>
        <v>83</v>
      </c>
      <c r="XL641" s="203" t="s">
        <v>61</v>
      </c>
      <c r="XM641" s="10">
        <f>XK641*1.5</f>
        <v>124.5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VLOOKUP(XQ641,$A$681:$F$2272,6,FALSE)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VLOOKUP(XZ641,$A$681:$F$2272,6,FALSE)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VLOOKUP(YI641,$A$681:$F$2272,6,FALSE)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VLOOKUP(YR641,$A$681:$F$2272,6,FALSE)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VLOOKUP(ZA641,$A$681:$F$2272,6,FALSE)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VLOOKUP(ZJ641,$A$681:$F$2272,6,FALSE)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2568</v>
      </c>
      <c r="ZT641" s="416" t="s">
        <v>2023</v>
      </c>
      <c r="ZU641" s="284">
        <f>IF(ZT641="Kopman",1.8,1)</f>
        <v>1.8</v>
      </c>
      <c r="ZV641" s="204">
        <f>VLOOKUP(ZS641,$A$681:$F$2272,6,FALSE)</f>
        <v>83</v>
      </c>
      <c r="ZW641" s="203" t="s">
        <v>61</v>
      </c>
      <c r="ZX641" s="10">
        <f>ZV641*1.5*ZU641</f>
        <v>224.1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VLOOKUP(AAB641,$A$681:$F$2272,6,FALSE)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7" t="s">
        <v>808</v>
      </c>
      <c r="AAL641" s="416" t="s">
        <v>2023</v>
      </c>
      <c r="AAM641" s="284">
        <f>IF(AAL641="Kopman",1.8,1)</f>
        <v>1.8</v>
      </c>
      <c r="AAN641" s="204">
        <f>VLOOKUP(AAK641,$A$681:$F$2272,6,FALSE)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VLOOKUP(AAT641,$A$681:$F$2272,6,FALSE)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VLOOKUP(ABC641,$A$681:$F$2272,6,FALSE)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VLOOKUP(ABL641,$A$681:$F$2272,6,FALSE)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VLOOKUP(ABU641,$A$681:$F$2272,6,FALSE)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VLOOKUP(ACD641,$A$681:$F$2272,6,FALSE)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VLOOKUP(ACM641,$A$681:$F$2272,6,FALSE)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VLOOKUP(ACV641,$A$681:$F$2272,6,FALSE)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VLOOKUP(ADE641,$A$681:$F$2272,6,FALSE)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VLOOKUP(ADN641,$A$681:$F$2272,6,FALSE)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VLOOKUP(ADW641,$A$681:$F$2272,6,FALSE)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VLOOKUP(AEF641,$A$681:$F$2272,6,FALSE)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VLOOKUP(AEO641,$A$681:$F$2272,6,FALSE)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VLOOKUP(AEX641,$A$681:$F$2272,6,FALSE)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VLOOKUP(AFG641,$A$681:$F$2272,6,FALSE)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VLOOKUP(AFP641,$A$681:$F$2272,6,FALSE)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VLOOKUP(AFY641,$A$681:$F$2272,6,FALSE)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VLOOKUP(AGH641,$A$681:$F$2272,6,FALSE)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VLOOKUP(AGQ641,$A$681:$F$2272,6,FALSE)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VLOOKUP(AGZ641,$A$681:$F$2272,6,FALSE)</f>
        <v>68</v>
      </c>
      <c r="AHD641" s="203" t="s">
        <v>61</v>
      </c>
      <c r="AHE641" s="10">
        <f>AHC641*1.5*AHB641</f>
        <v>102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VLOOKUP(AHI641,$A$681:$F$2272,6,FALSE)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2568</v>
      </c>
      <c r="AHT641" s="284">
        <f>IF(AHS641="Kopman",1.8,1)</f>
        <v>1</v>
      </c>
      <c r="AHU641" s="204">
        <f>VLOOKUP(AHR641,$A$681:$F$2272,6,FALSE)</f>
        <v>83</v>
      </c>
      <c r="AHV641" s="203" t="s">
        <v>61</v>
      </c>
      <c r="AHW641" s="10">
        <f>AHU641*1.5*AHT641</f>
        <v>124.5</v>
      </c>
      <c r="AHX641" s="10"/>
      <c r="AHY641" s="274"/>
      <c r="AHZ641" s="203" t="s">
        <v>100</v>
      </c>
      <c r="AIA641" s="277" t="s">
        <v>2568</v>
      </c>
      <c r="AIC641" s="284">
        <f>IF(AIB641="Kopman",1.8,1)</f>
        <v>1</v>
      </c>
      <c r="AID641" s="204">
        <f>VLOOKUP(AIA641,$A$681:$F$2272,6,FALSE)</f>
        <v>83</v>
      </c>
      <c r="AIE641" s="203" t="s">
        <v>61</v>
      </c>
      <c r="AIF641" s="10">
        <f>AID641*1.5*AIC641</f>
        <v>124.5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VLOOKUP(AIJ641,$A$681:$F$2272,6,FALSE)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VLOOKUP(AIS641,$A$681:$F$2272,6,FALSE)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VLOOKUP(AJB641,$A$681:$F$2272,6,FALSE)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VLOOKUP(AJK641,$A$681:$F$2272,6,FALSE)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VLOOKUP(AJT641,$A$681:$F$2272,6,FALSE)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VLOOKUP(AKC641,$A$681:$F$2272,6,FALSE)</f>
        <v>35</v>
      </c>
      <c r="AKG641" s="203" t="s">
        <v>61</v>
      </c>
      <c r="AKH641" s="10">
        <f>AKF641*1.5*AKE641</f>
        <v>52.5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VLOOKUP(AKL641,$A$681:$F$2272,6,FALSE)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VLOOKUP(AKU641,$A$681:$F$2272,6,FALSE)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VLOOKUP(ALD641,$A$681:$F$2272,6,FALSE)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VLOOKUP(ALM641,$A$681:$F$2272,6,FALSE)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VLOOKUP(ALV641,$A$681:$F$2272,6,FALSE)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VLOOKUP(AME641,$A$681:$F$2272,6,FALSE)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VLOOKUP(AMN641,$A$681:$F$2272,6,FALSE)</f>
        <v>35</v>
      </c>
      <c r="AMR641" s="203" t="s">
        <v>61</v>
      </c>
      <c r="AMS641" s="10">
        <f>AMQ641*1.5*AMP641</f>
        <v>52.5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VLOOKUP(AMW641,$A$681:$F$2272,6,FALSE)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VLOOKUP(ANF641,$A$681:$F$2272,6,FALSE)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VLOOKUP(ANO641,$A$681:$F$2272,6,FALSE)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VLOOKUP(ANX641,$A$681:$F$2272,6,FALSE)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2621</v>
      </c>
      <c r="AOI641" s="284">
        <f>IF(AOH641="Kopman",1.8,1)</f>
        <v>1</v>
      </c>
      <c r="AOJ641" s="204">
        <f>VLOOKUP(AOG641,$A$681:$F$2272,6,FALSE)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VLOOKUP(AOP641,$A$681:$F$2272,6,FALSE)</f>
        <v>70</v>
      </c>
      <c r="AOT641" s="203" t="s">
        <v>61</v>
      </c>
      <c r="AOU641" s="10">
        <f>AOS641*1.5*AOR641</f>
        <v>105</v>
      </c>
      <c r="AOV641" s="10"/>
      <c r="AOW641" s="274"/>
      <c r="AOX641" s="203" t="s">
        <v>100</v>
      </c>
      <c r="AOY641" s="417" t="s">
        <v>454</v>
      </c>
      <c r="AOZ641" s="416" t="s">
        <v>2023</v>
      </c>
      <c r="APA641" s="284">
        <f>IF(AOZ641="Kopman",1.8,1)</f>
        <v>1.8</v>
      </c>
      <c r="APB641" s="204">
        <f>VLOOKUP(AOY641,$A$681:$F$2272,6,FALSE)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VLOOKUP(APH641,$A$681:$F$2272,6,FALSE)</f>
        <v>68</v>
      </c>
      <c r="APL641" s="203" t="s">
        <v>61</v>
      </c>
      <c r="APM641" s="10">
        <f>APK641*1.5*APJ641</f>
        <v>102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VLOOKUP(APQ641,$A$681:$F$2272,6,FALSE)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VLOOKUP(APZ641,$A$681:$F$2272,6,FALSE)</f>
        <v>27</v>
      </c>
      <c r="AQD641" s="203" t="s">
        <v>61</v>
      </c>
      <c r="AQE641" s="10">
        <f>AQC641*1.5*AQB641</f>
        <v>40.5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VLOOKUP(B642,$A$681:$F$2272,6,FALSE)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VLOOKUP(K642,$A$681:$F$2272,6,FALSE)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VLOOKUP(T642,$A$681:$F$2272,6,FALSE)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2568</v>
      </c>
      <c r="AE642" s="204"/>
      <c r="AF642" s="204">
        <f>VLOOKUP(AC642,$A$681:$F$2272,6,FALSE)</f>
        <v>83</v>
      </c>
      <c r="AG642" s="203" t="s">
        <v>63</v>
      </c>
      <c r="AH642" s="10">
        <f>AF642*1.4</f>
        <v>116.19999999999999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VLOOKUP(AL642,$A$681:$F$2272,6,FALSE)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2568</v>
      </c>
      <c r="AW642" s="204"/>
      <c r="AX642" s="204">
        <f>VLOOKUP(AU642,$A$681:$F$2272,6,FALSE)</f>
        <v>83</v>
      </c>
      <c r="AY642" s="203" t="s">
        <v>63</v>
      </c>
      <c r="AZ642" s="10">
        <f>AX642*1.4</f>
        <v>116.19999999999999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VLOOKUP(BD642,$A$681:$F$2272,6,FALSE)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VLOOKUP(BM642,$A$681:$F$2272,6,FALSE)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VLOOKUP(BV642,$A$681:$F$2272,6,FALSE)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VLOOKUP(CE642,$A$681:$F$2272,6,FALSE)</f>
        <v>70</v>
      </c>
      <c r="CI642" s="203" t="s">
        <v>63</v>
      </c>
      <c r="CJ642" s="10">
        <f>CH642*1.4</f>
        <v>98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VLOOKUP(CN642,$A$681:$F$2272,6,FALSE)</f>
        <v>70</v>
      </c>
      <c r="CR642" s="203" t="s">
        <v>63</v>
      </c>
      <c r="CS642" s="10">
        <f>CQ642*1.4</f>
        <v>98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VLOOKUP(CW642,$A$681:$F$2272,6,FALSE)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VLOOKUP(DF642,$A$681:$F$2272,6,FALSE)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2621</v>
      </c>
      <c r="DQ642" s="204"/>
      <c r="DR642" s="204">
        <f>VLOOKUP(DO642,$A$681:$F$2272,6,FALSE)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VLOOKUP(DX642,$A$681:$F$2272,6,FALSE)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VLOOKUP(EG642,$A$681:$F$2272,6,FALSE)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2621</v>
      </c>
      <c r="ER642" s="204"/>
      <c r="ES642" s="204">
        <f>VLOOKUP(EP642,$A$681:$F$2272,6,FALSE)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VLOOKUP(EY642,$A$681:$F$2272,6,FALSE)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VLOOKUP(FH642,$A$681:$F$2272,6,FALSE)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2568</v>
      </c>
      <c r="FS642" s="204"/>
      <c r="FT642" s="204">
        <f>VLOOKUP(FQ642,$A$681:$F$2272,6,FALSE)</f>
        <v>83</v>
      </c>
      <c r="FU642" s="203" t="s">
        <v>63</v>
      </c>
      <c r="FV642" s="10">
        <f>FT642*1.4</f>
        <v>116.19999999999999</v>
      </c>
      <c r="FW642" s="10"/>
      <c r="FX642" s="268"/>
      <c r="FY642" s="203" t="s">
        <v>101</v>
      </c>
      <c r="FZ642" s="277" t="s">
        <v>2568</v>
      </c>
      <c r="GB642" s="204"/>
      <c r="GC642" s="204">
        <f>VLOOKUP(FZ642,$A$681:$F$2272,6,FALSE)</f>
        <v>83</v>
      </c>
      <c r="GD642" s="203" t="s">
        <v>63</v>
      </c>
      <c r="GE642" s="10">
        <f>GC642*1.4</f>
        <v>116.19999999999999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VLOOKUP(GI642,$A$681:$F$2272,6,FALSE)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VLOOKUP(GR642,$A$681:$F$2272,6,FALSE)</f>
        <v>93</v>
      </c>
      <c r="GV642" s="203" t="s">
        <v>63</v>
      </c>
      <c r="GW642" s="10">
        <f>GU642*1.4</f>
        <v>130.19999999999999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VLOOKUP(HA642,$A$681:$F$2272,6,FALSE)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2568</v>
      </c>
      <c r="HL642" s="204"/>
      <c r="HM642" s="204">
        <f>VLOOKUP(HJ642,$A$681:$F$2272,6,FALSE)</f>
        <v>83</v>
      </c>
      <c r="HN642" s="203" t="s">
        <v>63</v>
      </c>
      <c r="HO642" s="10">
        <f>HM642*1.4</f>
        <v>116.19999999999999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VLOOKUP(HS642,$A$681:$F$2272,6,FALSE)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VLOOKUP(IB642,$A$681:$F$2272,6,FALSE)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VLOOKUP(IK642,$A$681:$F$2272,6,FALSE)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VLOOKUP(IT642,$A$681:$F$2272,6,FALSE)</f>
        <v>35</v>
      </c>
      <c r="IX642" s="203" t="s">
        <v>63</v>
      </c>
      <c r="IY642" s="10">
        <f>IW642*1.4</f>
        <v>49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VLOOKUP(JC642,$A$681:$F$2272,6,FALSE)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VLOOKUP(JL642,$A$681:$F$2272,6,FALSE)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VLOOKUP(JU642,$A$681:$F$2272,6,FALSE)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VLOOKUP(KD642,$A$681:$F$2272,6,FALSE)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VLOOKUP(KM642,$A$681:$F$2272,6,FALSE)</f>
        <v>68</v>
      </c>
      <c r="KQ642" s="203" t="s">
        <v>63</v>
      </c>
      <c r="KR642" s="10">
        <f>KP642*1.4</f>
        <v>95.199999999999989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VLOOKUP(KV642,$A$681:$F$2272,6,FALSE)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VLOOKUP(LE642,$A$681:$F$2272,6,FALSE)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VLOOKUP(LN642,$A$681:$F$2272,6,FALSE)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VLOOKUP(LW642,$A$681:$F$2272,6,FALSE)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VLOOKUP(MF642,$A$681:$F$2272,6,FALSE)</f>
        <v>93</v>
      </c>
      <c r="MJ642" s="203" t="s">
        <v>63</v>
      </c>
      <c r="MK642" s="10">
        <f>MI642*1.4</f>
        <v>130.19999999999999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VLOOKUP(MO642,$A$681:$F$2272,6,FALSE)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VLOOKUP(MX642,$A$681:$F$2272,6,FALSE)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VLOOKUP(NG642,$A$681:$F$2272,6,FALSE)</f>
        <v>96</v>
      </c>
      <c r="NK642" s="203" t="s">
        <v>63</v>
      </c>
      <c r="NL642" s="10">
        <f>NJ642*1.4</f>
        <v>134.39999999999998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VLOOKUP(NP642,$A$681:$F$2272,6,FALSE)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VLOOKUP(NY642,$A$681:$F$2272,6,FALSE)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VLOOKUP(OH642,$A$681:$F$2272,6,FALSE)</f>
        <v>35</v>
      </c>
      <c r="OL642" s="203" t="s">
        <v>63</v>
      </c>
      <c r="OM642" s="10">
        <f>OK642*1.4</f>
        <v>49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VLOOKUP(OQ642,$A$681:$F$2272,6,FALSE)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VLOOKUP(OZ642,$A$681:$F$2272,6,FALSE)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VLOOKUP(PI642,$A$681:$F$2272,6,FALSE)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VLOOKUP(PR642,$A$681:$F$2272,6,FALSE)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VLOOKUP(QA642,$A$681:$F$2272,6,FALSE)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2568</v>
      </c>
      <c r="QL642" s="204"/>
      <c r="QM642" s="204">
        <f>VLOOKUP(QJ642,$A$681:$F$2272,6,FALSE)</f>
        <v>83</v>
      </c>
      <c r="QN642" s="203" t="s">
        <v>63</v>
      </c>
      <c r="QO642" s="10">
        <f>QM642*1.4</f>
        <v>116.19999999999999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VLOOKUP(QS642,$A$681:$F$2272,6,FALSE)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VLOOKUP(RB642,$A$681:$F$2272,6,FALSE)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VLOOKUP(RK642,$A$681:$F$2272,6,FALSE)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2568</v>
      </c>
      <c r="RV642" s="204"/>
      <c r="RW642" s="204">
        <f>VLOOKUP(RT642,$A$681:$F$2272,6,FALSE)</f>
        <v>83</v>
      </c>
      <c r="RX642" s="203" t="s">
        <v>63</v>
      </c>
      <c r="RY642" s="10">
        <f>RW642*1.4</f>
        <v>116.19999999999999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VLOOKUP(SC642,$A$681:$F$2272,6,FALSE)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VLOOKUP(SL642,$A$681:$F$2272,6,FALSE)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VLOOKUP(SU642,$A$681:$F$2272,6,FALSE)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2568</v>
      </c>
      <c r="TF642" s="204"/>
      <c r="TG642" s="204">
        <f>VLOOKUP(TD642,$A$681:$F$2272,6,FALSE)</f>
        <v>83</v>
      </c>
      <c r="TH642" s="203" t="s">
        <v>63</v>
      </c>
      <c r="TI642" s="10">
        <f>TG642*1.4</f>
        <v>116.19999999999999</v>
      </c>
      <c r="TK642" s="274"/>
      <c r="TL642" s="203" t="s">
        <v>101</v>
      </c>
      <c r="TM642" s="277" t="s">
        <v>2568</v>
      </c>
      <c r="TO642" s="204"/>
      <c r="TP642" s="204">
        <f>VLOOKUP(TM642,$A$681:$F$2272,6,FALSE)</f>
        <v>83</v>
      </c>
      <c r="TQ642" s="203" t="s">
        <v>63</v>
      </c>
      <c r="TR642" s="10">
        <f>TP642*1.4</f>
        <v>116.19999999999999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VLOOKUP(TV642,$A$681:$F$2272,6,FALSE)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VLOOKUP(UE642,$A$681:$F$2272,6,FALSE)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VLOOKUP(UN642,$A$681:$F$2272,6,FALSE)</f>
        <v>93</v>
      </c>
      <c r="UR642" s="203" t="s">
        <v>63</v>
      </c>
      <c r="US642" s="10">
        <f>UQ642*1.4</f>
        <v>130.19999999999999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VLOOKUP(UW642,$A$681:$F$2272,6,FALSE)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VLOOKUP(VF642,$A$681:$F$2272,6,FALSE)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VLOOKUP(VO642,$A$681:$F$2272,6,FALSE)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VLOOKUP(VX642,$A$681:$F$2272,6,FALSE)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VLOOKUP(WG642,$A$681:$F$2272,6,FALSE)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VLOOKUP(WP642,$A$681:$F$2272,6,FALSE)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VLOOKUP(WY642,$A$681:$F$2272,6,FALSE)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VLOOKUP(XH642,$A$681:$F$2272,6,FALSE)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VLOOKUP(XQ642,$A$681:$F$2272,6,FALSE)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2077</v>
      </c>
      <c r="YB642" s="204"/>
      <c r="YC642" s="204">
        <f>VLOOKUP(XZ642,$A$681:$F$2272,6,FALSE)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VLOOKUP(YI642,$A$681:$F$2272,6,FALSE)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VLOOKUP(YR642,$A$681:$F$2272,6,FALSE)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2621</v>
      </c>
      <c r="ZC642" s="204"/>
      <c r="ZD642" s="204">
        <f>VLOOKUP(ZA642,$A$681:$F$2272,6,FALSE)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VLOOKUP(ZJ642,$A$681:$F$2272,6,FALSE)</f>
        <v>93</v>
      </c>
      <c r="ZN642" s="203" t="s">
        <v>63</v>
      </c>
      <c r="ZO642" s="10">
        <f>ZM642*1.4</f>
        <v>130.19999999999999</v>
      </c>
      <c r="ZQ642" s="274"/>
      <c r="ZR642" s="203" t="s">
        <v>101</v>
      </c>
      <c r="ZS642" s="277" t="s">
        <v>635</v>
      </c>
      <c r="ZU642" s="204"/>
      <c r="ZV642" s="204">
        <f>VLOOKUP(ZS642,$A$681:$F$2272,6,FALSE)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VLOOKUP(AAB642,$A$681:$F$2272,6,FALSE)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VLOOKUP(AAK642,$A$681:$F$2272,6,FALSE)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VLOOKUP(AAT642,$A$681:$F$2272,6,FALSE)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VLOOKUP(ABC642,$A$681:$F$2272,6,FALSE)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VLOOKUP(ABL642,$A$681:$F$2272,6,FALSE)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2621</v>
      </c>
      <c r="ABW642" s="204"/>
      <c r="ABX642" s="204">
        <f>VLOOKUP(ABU642,$A$681:$F$2272,6,FALSE)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VLOOKUP(ACD642,$A$681:$F$2272,6,FALSE)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VLOOKUP(ACM642,$A$681:$F$2272,6,FALSE)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VLOOKUP(ACV642,$A$681:$F$2272,6,FALSE)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VLOOKUP(ADE642,$A$681:$F$2272,6,FALSE)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VLOOKUP(ADN642,$A$681:$F$2272,6,FALSE)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VLOOKUP(ADW642,$A$681:$F$2272,6,FALSE)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VLOOKUP(AEF642,$A$681:$F$2272,6,FALSE)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VLOOKUP(AEO642,$A$681:$F$2272,6,FALSE)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VLOOKUP(AEX642,$A$681:$F$2272,6,FALSE)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VLOOKUP(AFG642,$A$681:$F$2272,6,FALSE)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VLOOKUP(AFP642,$A$681:$F$2272,6,FALSE)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VLOOKUP(AFY642,$A$681:$F$2272,6,FALSE)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VLOOKUP(AGH642,$A$681:$F$2272,6,FALSE)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VLOOKUP(AGQ642,$A$681:$F$2272,6,FALSE)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VLOOKUP(AGZ642,$A$681:$F$2272,6,FALSE)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VLOOKUP(AHI642,$A$681:$F$2272,6,FALSE)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VLOOKUP(AHR642,$A$681:$F$2272,6,FALSE)</f>
        <v>70</v>
      </c>
      <c r="AHV642" s="203" t="s">
        <v>63</v>
      </c>
      <c r="AHW642" s="10">
        <f>AHU642*1.4</f>
        <v>98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VLOOKUP(AIA642,$A$681:$F$2272,6,FALSE)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VLOOKUP(AIJ642,$A$681:$F$2272,6,FALSE)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VLOOKUP(AIS642,$A$681:$F$2272,6,FALSE)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VLOOKUP(AJB642,$A$681:$F$2272,6,FALSE)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VLOOKUP(AJK642,$A$681:$F$2272,6,FALSE)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VLOOKUP(AJT642,$A$681:$F$2272,6,FALSE)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VLOOKUP(AKC642,$A$681:$F$2272,6,FALSE)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VLOOKUP(AKL642,$A$681:$F$2272,6,FALSE)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VLOOKUP(AKU642,$A$681:$F$2272,6,FALSE)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VLOOKUP(ALD642,$A$681:$F$2272,6,FALSE)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VLOOKUP(ALM642,$A$681:$F$2272,6,FALSE)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VLOOKUP(ALV642,$A$681:$F$2272,6,FALSE)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VLOOKUP(AME642,$A$681:$F$2272,6,FALSE)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VLOOKUP(AMN642,$A$681:$F$2272,6,FALSE)</f>
        <v>93</v>
      </c>
      <c r="AMR642" s="203" t="s">
        <v>63</v>
      </c>
      <c r="AMS642" s="10">
        <f>AMQ642*1.4</f>
        <v>130.19999999999999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VLOOKUP(AMW642,$A$681:$F$2272,6,FALSE)</f>
        <v>35</v>
      </c>
      <c r="ANA642" s="203" t="s">
        <v>63</v>
      </c>
      <c r="ANB642" s="10">
        <f>AMZ642*1.4</f>
        <v>49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VLOOKUP(ANF642,$A$681:$F$2272,6,FALSE)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VLOOKUP(ANO642,$A$681:$F$2272,6,FALSE)</f>
        <v>6</v>
      </c>
      <c r="ANS642" s="203" t="s">
        <v>63</v>
      </c>
      <c r="ANT642" s="10">
        <f>ANR642*1.4</f>
        <v>8.3999999999999986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VLOOKUP(ANX642,$A$681:$F$2272,6,FALSE)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VLOOKUP(AOG642,$A$681:$F$2272,6,FALSE)</f>
        <v>27</v>
      </c>
      <c r="AOK642" s="203" t="s">
        <v>63</v>
      </c>
      <c r="AOL642" s="10">
        <f>AOJ642*1.4</f>
        <v>37.799999999999997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VLOOKUP(AOP642,$A$681:$F$2272,6,FALSE)</f>
        <v>68</v>
      </c>
      <c r="AOT642" s="203" t="s">
        <v>63</v>
      </c>
      <c r="AOU642" s="10">
        <f>AOS642*1.4</f>
        <v>95.199999999999989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VLOOKUP(AOY642,$A$681:$F$2272,6,FALSE)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VLOOKUP(APH642,$A$681:$F$2272,6,FALSE)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VLOOKUP(APQ642,$A$681:$F$2272,6,FALSE)</f>
        <v>68</v>
      </c>
      <c r="APU642" s="203" t="s">
        <v>63</v>
      </c>
      <c r="APV642" s="10">
        <f>APT642*1.4</f>
        <v>95.199999999999989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VLOOKUP(APZ642,$A$681:$F$2272,6,FALSE)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VLOOKUP(B643,$A$681:$F$2272,6,FALSE)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VLOOKUP(K643,$A$681:$F$2272,6,FALSE)</f>
        <v>70</v>
      </c>
      <c r="O643" s="203" t="s">
        <v>65</v>
      </c>
      <c r="P643" s="10">
        <f>N643*1.3</f>
        <v>91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VLOOKUP(T643,$A$681:$F$2272,6,FALSE)</f>
        <v>70</v>
      </c>
      <c r="X643" s="203" t="s">
        <v>65</v>
      </c>
      <c r="Y643" s="10">
        <f>W643*1.3</f>
        <v>91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VLOOKUP(AC643,$A$681:$F$2272,6,FALSE)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VLOOKUP(AL643,$A$681:$F$2272,6,FALSE)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2063</v>
      </c>
      <c r="AW643" s="204"/>
      <c r="AX643" s="204">
        <f>VLOOKUP(AU643,$A$681:$F$2272,6,FALSE)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2568</v>
      </c>
      <c r="BF643" s="204"/>
      <c r="BG643" s="204">
        <f>VLOOKUP(BD643,$A$681:$F$2272,6,FALSE)</f>
        <v>83</v>
      </c>
      <c r="BH643" s="203" t="s">
        <v>65</v>
      </c>
      <c r="BI643" s="10">
        <f>BG643*1.3</f>
        <v>107.9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VLOOKUP(BM643,$A$681:$F$2272,6,FALSE)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VLOOKUP(BV643,$A$681:$F$2272,6,FALSE)</f>
        <v>27</v>
      </c>
      <c r="BZ643" s="203" t="s">
        <v>65</v>
      </c>
      <c r="CA643" s="10">
        <f>BY643*1.3</f>
        <v>35.1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VLOOKUP(CE643,$A$681:$F$2272,6,FALSE)</f>
        <v>35</v>
      </c>
      <c r="CI643" s="203" t="s">
        <v>65</v>
      </c>
      <c r="CJ643" s="10">
        <f>CH643*1.3</f>
        <v>45.5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VLOOKUP(CN643,$A$681:$F$2272,6,FALSE)</f>
        <v>35</v>
      </c>
      <c r="CR643" s="203" t="s">
        <v>65</v>
      </c>
      <c r="CS643" s="10">
        <f>CQ643*1.3</f>
        <v>45.5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VLOOKUP(CW643,$A$681:$F$2272,6,FALSE)</f>
        <v>70</v>
      </c>
      <c r="DA643" s="203" t="s">
        <v>65</v>
      </c>
      <c r="DB643" s="10">
        <f>CZ643*1.3</f>
        <v>91</v>
      </c>
      <c r="DC643" s="10"/>
      <c r="DD643" s="268"/>
      <c r="DE643" s="203" t="s">
        <v>102</v>
      </c>
      <c r="DF643" s="277" t="s">
        <v>2621</v>
      </c>
      <c r="DH643" s="204"/>
      <c r="DI643" s="204">
        <f>VLOOKUP(DF643,$A$681:$F$2272,6,FALSE)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VLOOKUP(DO643,$A$681:$F$2272,6,FALSE)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VLOOKUP(DX643,$A$681:$F$2272,6,FALSE)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VLOOKUP(EG643,$A$681:$F$2272,6,FALSE)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VLOOKUP(EP643,$A$681:$F$2272,6,FALSE)</f>
        <v>70</v>
      </c>
      <c r="ET643" s="203" t="s">
        <v>65</v>
      </c>
      <c r="EU643" s="10">
        <f>ES643*1.3</f>
        <v>91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VLOOKUP(EY643,$A$681:$F$2272,6,FALSE)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VLOOKUP(FH643,$A$681:$F$2272,6,FALSE)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VLOOKUP(FQ643,$A$681:$F$2272,6,FALSE)</f>
        <v>63</v>
      </c>
      <c r="FU643" s="203" t="s">
        <v>65</v>
      </c>
      <c r="FV643" s="10">
        <f>FT643*1.3</f>
        <v>81.900000000000006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VLOOKUP(FZ643,$A$681:$F$2272,6,FALSE)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VLOOKUP(GI643,$A$681:$F$2272,6,FALSE)</f>
        <v>27</v>
      </c>
      <c r="GM643" s="203" t="s">
        <v>65</v>
      </c>
      <c r="GN643" s="10">
        <f>GL643*1.3</f>
        <v>35.1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VLOOKUP(GR643,$A$681:$F$2272,6,FALSE)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VLOOKUP(HA643,$A$681:$F$2272,6,FALSE)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VLOOKUP(HJ643,$A$681:$F$2272,6,FALSE)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VLOOKUP(HS643,$A$681:$F$2272,6,FALSE)</f>
        <v>6</v>
      </c>
      <c r="HW643" s="203" t="s">
        <v>65</v>
      </c>
      <c r="HX643" s="10">
        <f>HV643*1.3</f>
        <v>7.8000000000000007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VLOOKUP(IB643,$A$681:$F$2272,6,FALSE)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VLOOKUP(IK643,$A$681:$F$2272,6,FALSE)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VLOOKUP(IT643,$A$681:$F$2272,6,FALSE)</f>
        <v>27</v>
      </c>
      <c r="IX643" s="203" t="s">
        <v>65</v>
      </c>
      <c r="IY643" s="10">
        <f>IW643*1.3</f>
        <v>35.1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VLOOKUP(JC643,$A$681:$F$2272,6,FALSE)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VLOOKUP(JL643,$A$681:$F$2272,6,FALSE)</f>
        <v>96</v>
      </c>
      <c r="JP643" s="203" t="s">
        <v>65</v>
      </c>
      <c r="JQ643" s="10">
        <f>JO643*1.3</f>
        <v>124.80000000000001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VLOOKUP(JU643,$A$681:$F$2272,6,FALSE)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2568</v>
      </c>
      <c r="KF643" s="204"/>
      <c r="KG643" s="204">
        <f>VLOOKUP(KD643,$A$681:$F$2272,6,FALSE)</f>
        <v>83</v>
      </c>
      <c r="KH643" s="203" t="s">
        <v>65</v>
      </c>
      <c r="KI643" s="10">
        <f>KG643*1.3</f>
        <v>107.9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VLOOKUP(KM643,$A$681:$F$2272,6,FALSE)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VLOOKUP(KV643,$A$681:$F$2272,6,FALSE)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VLOOKUP(LE643,$A$681:$F$2272,6,FALSE)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2568</v>
      </c>
      <c r="LP643" s="204"/>
      <c r="LQ643" s="204">
        <f>VLOOKUP(LN643,$A$681:$F$2272,6,FALSE)</f>
        <v>83</v>
      </c>
      <c r="LR643" s="203" t="s">
        <v>65</v>
      </c>
      <c r="LS643" s="10">
        <f>LQ643*1.3</f>
        <v>107.9</v>
      </c>
      <c r="LT643" s="10"/>
      <c r="LU643" s="268"/>
      <c r="LV643" s="203" t="s">
        <v>102</v>
      </c>
      <c r="LW643" s="277" t="s">
        <v>2077</v>
      </c>
      <c r="LY643" s="204"/>
      <c r="LZ643" s="204">
        <f>VLOOKUP(LW643,$A$681:$F$2272,6,FALSE)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VLOOKUP(MF643,$A$681:$F$2272,6,FALSE)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VLOOKUP(MO643,$A$681:$F$2272,6,FALSE)</f>
        <v>35</v>
      </c>
      <c r="MS643" s="203" t="s">
        <v>65</v>
      </c>
      <c r="MT643" s="10">
        <f>MR643*1.3</f>
        <v>45.5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VLOOKUP(MX643,$A$681:$F$2272,6,FALSE)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2071</v>
      </c>
      <c r="NI643" s="204"/>
      <c r="NJ643" s="204">
        <f>VLOOKUP(NG643,$A$681:$F$2272,6,FALSE)</f>
        <v>75</v>
      </c>
      <c r="NK643" s="203" t="s">
        <v>65</v>
      </c>
      <c r="NL643" s="10">
        <f>NJ643*1.3</f>
        <v>97.5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VLOOKUP(NP643,$A$681:$F$2272,6,FALSE)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VLOOKUP(NY643,$A$681:$F$2272,6,FALSE)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VLOOKUP(OH643,$A$681:$F$2272,6,FALSE)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2568</v>
      </c>
      <c r="OS643" s="204"/>
      <c r="OT643" s="204">
        <f>VLOOKUP(OQ643,$A$681:$F$2272,6,FALSE)</f>
        <v>83</v>
      </c>
      <c r="OU643" s="203" t="s">
        <v>65</v>
      </c>
      <c r="OV643" s="10">
        <f>OT643*1.3</f>
        <v>107.9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VLOOKUP(OZ643,$A$681:$F$2272,6,FALSE)</f>
        <v>6</v>
      </c>
      <c r="PD643" s="203" t="s">
        <v>65</v>
      </c>
      <c r="PE643" s="10">
        <f>PC643*1.3</f>
        <v>7.8000000000000007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VLOOKUP(PI643,$A$681:$F$2272,6,FALSE)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VLOOKUP(PR643,$A$681:$F$2272,6,FALSE)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VLOOKUP(QA643,$A$681:$F$2272,6,FALSE)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VLOOKUP(QJ643,$A$681:$F$2272,6,FALSE)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VLOOKUP(QS643,$A$681:$F$2272,6,FALSE)</f>
        <v>63</v>
      </c>
      <c r="QW643" s="203" t="s">
        <v>65</v>
      </c>
      <c r="QX643" s="10">
        <f>QV643*1.3</f>
        <v>81.900000000000006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VLOOKUP(RB643,$A$681:$F$2272,6,FALSE)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VLOOKUP(RK643,$A$681:$F$2272,6,FALSE)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VLOOKUP(RT643,$A$681:$F$2272,6,FALSE)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2568</v>
      </c>
      <c r="SE643" s="204"/>
      <c r="SF643" s="204">
        <f>VLOOKUP(SC643,$A$681:$F$2272,6,FALSE)</f>
        <v>83</v>
      </c>
      <c r="SG643" s="203" t="s">
        <v>65</v>
      </c>
      <c r="SH643" s="10">
        <f>SF643*1.3</f>
        <v>107.9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VLOOKUP(SL643,$A$681:$F$2272,6,FALSE)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2569</v>
      </c>
      <c r="SW643" s="204"/>
      <c r="SX643" s="204">
        <f>VLOOKUP(SU643,$A$681:$F$2272,6,FALSE)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VLOOKUP(TD643,$A$681:$F$2272,6,FALSE)</f>
        <v>93</v>
      </c>
      <c r="TH643" s="203" t="s">
        <v>65</v>
      </c>
      <c r="TI643" s="10">
        <f>TG643*1.3</f>
        <v>120.9</v>
      </c>
      <c r="TK643" s="274"/>
      <c r="TL643" s="203" t="s">
        <v>102</v>
      </c>
      <c r="TM643" s="277" t="s">
        <v>1449</v>
      </c>
      <c r="TO643" s="204"/>
      <c r="TP643" s="204">
        <f>VLOOKUP(TM643,$A$681:$F$2272,6,FALSE)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VLOOKUP(TV643,$A$681:$F$2272,6,FALSE)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VLOOKUP(UE643,$A$681:$F$2272,6,FALSE)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2108</v>
      </c>
      <c r="UP643" s="204"/>
      <c r="UQ643" s="204">
        <f>VLOOKUP(UN643,$A$681:$F$2272,6,FALSE)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VLOOKUP(UW643,$A$681:$F$2272,6,FALSE)</f>
        <v>63</v>
      </c>
      <c r="VA643" s="203" t="s">
        <v>65</v>
      </c>
      <c r="VB643" s="10">
        <f>UZ643*1.3</f>
        <v>81.900000000000006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VLOOKUP(VF643,$A$681:$F$2272,6,FALSE)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VLOOKUP(VO643,$A$681:$F$2272,6,FALSE)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VLOOKUP(VX643,$A$681:$F$2272,6,FALSE)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VLOOKUP(WG643,$A$681:$F$2272,6,FALSE)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VLOOKUP(WP643,$A$681:$F$2272,6,FALSE)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VLOOKUP(WY643,$A$681:$F$2272,6,FALSE)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VLOOKUP(XH643,$A$681:$F$2272,6,FALSE)</f>
        <v>35</v>
      </c>
      <c r="XL643" s="203" t="s">
        <v>65</v>
      </c>
      <c r="XM643" s="10">
        <f>XK643*1.3</f>
        <v>45.5</v>
      </c>
      <c r="XO643" s="274"/>
      <c r="XP643" s="203" t="s">
        <v>102</v>
      </c>
      <c r="XQ643" s="277" t="s">
        <v>1272</v>
      </c>
      <c r="XS643" s="204"/>
      <c r="XT643" s="204">
        <f>VLOOKUP(XQ643,$A$681:$F$2272,6,FALSE)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VLOOKUP(XZ643,$A$681:$F$2272,6,FALSE)</f>
        <v>70</v>
      </c>
      <c r="YD643" s="203" t="s">
        <v>65</v>
      </c>
      <c r="YE643" s="10">
        <f>YC643*1.3</f>
        <v>91</v>
      </c>
      <c r="YG643" s="274"/>
      <c r="YH643" s="203" t="s">
        <v>102</v>
      </c>
      <c r="YI643" s="279" t="s">
        <v>183</v>
      </c>
      <c r="YK643" s="204"/>
      <c r="YL643" s="204" t="e">
        <f>VLOOKUP(YI643,$A$681:$F$2272,6,FALSE)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VLOOKUP(YR643,$A$681:$F$2272,6,FALSE)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VLOOKUP(ZA643,$A$681:$F$2272,6,FALSE)</f>
        <v>70</v>
      </c>
      <c r="ZE643" s="203" t="s">
        <v>65</v>
      </c>
      <c r="ZF643" s="10">
        <f>ZD643*1.3</f>
        <v>91</v>
      </c>
      <c r="ZH643" s="274"/>
      <c r="ZI643" s="203" t="s">
        <v>102</v>
      </c>
      <c r="ZJ643" s="277" t="s">
        <v>510</v>
      </c>
      <c r="ZL643" s="204"/>
      <c r="ZM643" s="204">
        <f>VLOOKUP(ZJ643,$A$681:$F$2272,6,FALSE)</f>
        <v>68</v>
      </c>
      <c r="ZN643" s="203" t="s">
        <v>65</v>
      </c>
      <c r="ZO643" s="10">
        <f>ZM643*1.3</f>
        <v>88.4</v>
      </c>
      <c r="ZQ643" s="274"/>
      <c r="ZR643" s="203" t="s">
        <v>102</v>
      </c>
      <c r="ZS643" s="277" t="s">
        <v>560</v>
      </c>
      <c r="ZU643" s="204"/>
      <c r="ZV643" s="204">
        <f>VLOOKUP(ZS643,$A$681:$F$2272,6,FALSE)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VLOOKUP(AAB643,$A$681:$F$2272,6,FALSE)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VLOOKUP(AAK643,$A$681:$F$2272,6,FALSE)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VLOOKUP(AAT643,$A$681:$F$2272,6,FALSE)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VLOOKUP(ABC643,$A$681:$F$2272,6,FALSE)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VLOOKUP(ABL643,$A$681:$F$2272,6,FALSE)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VLOOKUP(ABU643,$A$681:$F$2272,6,FALSE)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VLOOKUP(ACD643,$A$681:$F$2272,6,FALSE)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VLOOKUP(ACM643,$A$681:$F$2272,6,FALSE)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VLOOKUP(ACV643,$A$681:$F$2272,6,FALSE)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VLOOKUP(ADE643,$A$681:$F$2272,6,FALSE)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VLOOKUP(ADN643,$A$681:$F$2272,6,FALSE)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VLOOKUP(ADW643,$A$681:$F$2272,6,FALSE)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VLOOKUP(AEF643,$A$681:$F$2272,6,FALSE)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VLOOKUP(AEO643,$A$681:$F$2272,6,FALSE)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VLOOKUP(AEX643,$A$681:$F$2272,6,FALSE)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VLOOKUP(AFG643,$A$681:$F$2272,6,FALSE)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VLOOKUP(AFP643,$A$681:$F$2272,6,FALSE)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VLOOKUP(AFY643,$A$681:$F$2272,6,FALSE)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VLOOKUP(AGH643,$A$681:$F$2272,6,FALSE)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VLOOKUP(AGQ643,$A$681:$F$2272,6,FALSE)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VLOOKUP(AGZ643,$A$681:$F$2272,6,FALSE)</f>
        <v>27</v>
      </c>
      <c r="AHD643" s="203" t="s">
        <v>65</v>
      </c>
      <c r="AHE643" s="10">
        <f>AHC643*1.3</f>
        <v>35.1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VLOOKUP(AHI643,$A$681:$F$2272,6,FALSE)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VLOOKUP(AHR643,$A$681:$F$2272,6,FALSE)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VLOOKUP(AIA643,$A$681:$F$2272,6,FALSE)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VLOOKUP(AIJ643,$A$681:$F$2272,6,FALSE)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VLOOKUP(AIS643,$A$681:$F$2272,6,FALSE)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VLOOKUP(AJB643,$A$681:$F$2272,6,FALSE)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VLOOKUP(AJK643,$A$681:$F$2272,6,FALSE)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VLOOKUP(AJT643,$A$681:$F$2272,6,FALSE)</f>
        <v>6</v>
      </c>
      <c r="AJX643" s="203" t="s">
        <v>65</v>
      </c>
      <c r="AJY643" s="10">
        <f>AJW643*1.3</f>
        <v>7.8000000000000007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VLOOKUP(AKC643,$A$681:$F$2272,6,FALSE)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2108</v>
      </c>
      <c r="AKN643" s="204"/>
      <c r="AKO643" s="204">
        <f>VLOOKUP(AKL643,$A$681:$F$2272,6,FALSE)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2077</v>
      </c>
      <c r="AKW643" s="204"/>
      <c r="AKX643" s="204">
        <f>VLOOKUP(AKU643,$A$681:$F$2272,6,FALSE)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2569</v>
      </c>
      <c r="ALF643" s="204"/>
      <c r="ALG643" s="204">
        <f>VLOOKUP(ALD643,$A$681:$F$2272,6,FALSE)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VLOOKUP(ALM643,$A$681:$F$2272,6,FALSE)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VLOOKUP(ALV643,$A$681:$F$2272,6,FALSE)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VLOOKUP(AME643,$A$681:$F$2272,6,FALSE)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VLOOKUP(AMN643,$A$681:$F$2272,6,FALSE)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2568</v>
      </c>
      <c r="AMY643" s="204"/>
      <c r="AMZ643" s="204">
        <f>VLOOKUP(AMW643,$A$681:$F$2272,6,FALSE)</f>
        <v>83</v>
      </c>
      <c r="ANA643" s="203" t="s">
        <v>65</v>
      </c>
      <c r="ANB643" s="10">
        <f>AMZ643*1.3</f>
        <v>107.9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VLOOKUP(ANF643,$A$681:$F$2272,6,FALSE)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2521</v>
      </c>
      <c r="ANQ643" s="204"/>
      <c r="ANR643" s="204">
        <f>VLOOKUP(ANO643,$A$681:$F$2272,6,FALSE)</f>
        <v>8</v>
      </c>
      <c r="ANS643" s="203" t="s">
        <v>65</v>
      </c>
      <c r="ANT643" s="10">
        <f>ANR643*1.3</f>
        <v>10.4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VLOOKUP(ANX643,$A$681:$F$2272,6,FALSE)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VLOOKUP(AOG643,$A$681:$F$2272,6,FALSE)</f>
        <v>27</v>
      </c>
      <c r="AOK643" s="203" t="s">
        <v>65</v>
      </c>
      <c r="AOL643" s="10">
        <f>AOJ643*1.3</f>
        <v>35.1</v>
      </c>
      <c r="AOM643" s="10"/>
      <c r="AON643" s="274"/>
      <c r="AOO643" s="203" t="s">
        <v>102</v>
      </c>
      <c r="AOP643" s="277" t="s">
        <v>2568</v>
      </c>
      <c r="AOR643" s="204"/>
      <c r="AOS643" s="204">
        <f>VLOOKUP(AOP643,$A$681:$F$2272,6,FALSE)</f>
        <v>83</v>
      </c>
      <c r="AOT643" s="203" t="s">
        <v>65</v>
      </c>
      <c r="AOU643" s="10">
        <f>AOS643*1.3</f>
        <v>107.9</v>
      </c>
      <c r="AOV643" s="10"/>
      <c r="AOW643" s="274"/>
      <c r="AOX643" s="203" t="s">
        <v>102</v>
      </c>
      <c r="AOY643" s="277" t="s">
        <v>2568</v>
      </c>
      <c r="APA643" s="204"/>
      <c r="APB643" s="204">
        <f>VLOOKUP(AOY643,$A$681:$F$2272,6,FALSE)</f>
        <v>83</v>
      </c>
      <c r="APC643" s="203" t="s">
        <v>65</v>
      </c>
      <c r="APD643" s="10">
        <f>APB643*1.3</f>
        <v>107.9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VLOOKUP(APH643,$A$681:$F$2272,6,FALSE)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VLOOKUP(APQ643,$A$681:$F$2272,6,FALSE)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VLOOKUP(APZ643,$A$681:$F$2272,6,FALSE)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VLOOKUP(B644,$A$681:$F$2272,6,FALSE)</f>
        <v>70</v>
      </c>
      <c r="F644" s="203" t="s">
        <v>67</v>
      </c>
      <c r="G644" s="10">
        <f>E644*1.2</f>
        <v>84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VLOOKUP(K644,$A$681:$F$2272,6,FALSE)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2063</v>
      </c>
      <c r="V644" s="204"/>
      <c r="W644" s="204">
        <f>VLOOKUP(T644,$A$681:$F$2272,6,FALSE)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VLOOKUP(AC644,$A$681:$F$2272,6,FALSE)</f>
        <v>70</v>
      </c>
      <c r="AG644" s="203" t="s">
        <v>67</v>
      </c>
      <c r="AH644" s="10">
        <f>AF644*1.2</f>
        <v>84</v>
      </c>
      <c r="AI644" s="10"/>
      <c r="AJ644" s="268"/>
      <c r="AK644" s="203" t="s">
        <v>103</v>
      </c>
      <c r="AL644" s="277" t="s">
        <v>2621</v>
      </c>
      <c r="AN644" s="204"/>
      <c r="AO644" s="204">
        <f>VLOOKUP(AL644,$A$681:$F$2272,6,FALSE)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2071</v>
      </c>
      <c r="AW644" s="204"/>
      <c r="AX644" s="204">
        <f>VLOOKUP(AU644,$A$681:$F$2272,6,FALSE)</f>
        <v>75</v>
      </c>
      <c r="AY644" s="203" t="s">
        <v>67</v>
      </c>
      <c r="AZ644" s="10">
        <f>AX644*1.2</f>
        <v>90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VLOOKUP(BD644,$A$681:$F$2272,6,FALSE)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VLOOKUP(BM644,$A$681:$F$2272,6,FALSE)</f>
        <v>35</v>
      </c>
      <c r="BQ644" s="203" t="s">
        <v>67</v>
      </c>
      <c r="BR644" s="10">
        <f>BP644*1.2</f>
        <v>42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VLOOKUP(BV644,$A$681:$F$2272,6,FALSE)</f>
        <v>70</v>
      </c>
      <c r="BZ644" s="203" t="s">
        <v>67</v>
      </c>
      <c r="CA644" s="10">
        <f>BY644*1.2</f>
        <v>84</v>
      </c>
      <c r="CB644" s="10"/>
      <c r="CC644" s="268"/>
      <c r="CD644" s="203" t="s">
        <v>103</v>
      </c>
      <c r="CE644" s="277" t="s">
        <v>2568</v>
      </c>
      <c r="CG644" s="204"/>
      <c r="CH644" s="204">
        <f>VLOOKUP(CE644,$A$681:$F$2272,6,FALSE)</f>
        <v>83</v>
      </c>
      <c r="CI644" s="203" t="s">
        <v>67</v>
      </c>
      <c r="CJ644" s="10">
        <f>CH644*1.2</f>
        <v>99.6</v>
      </c>
      <c r="CK644" s="10"/>
      <c r="CL644" s="268"/>
      <c r="CM644" s="203" t="s">
        <v>103</v>
      </c>
      <c r="CN644" s="277" t="s">
        <v>2621</v>
      </c>
      <c r="CP644" s="204"/>
      <c r="CQ644" s="204">
        <f>VLOOKUP(CN644,$A$681:$F$2272,6,FALSE)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VLOOKUP(CW644,$A$681:$F$2272,6,FALSE)</f>
        <v>63</v>
      </c>
      <c r="DA644" s="203" t="s">
        <v>67</v>
      </c>
      <c r="DB644" s="10">
        <f>CZ644*1.2</f>
        <v>75.599999999999994</v>
      </c>
      <c r="DC644" s="10"/>
      <c r="DD644" s="268"/>
      <c r="DE644" s="203" t="s">
        <v>103</v>
      </c>
      <c r="DF644" s="277" t="s">
        <v>2568</v>
      </c>
      <c r="DH644" s="204"/>
      <c r="DI644" s="204">
        <f>VLOOKUP(DF644,$A$681:$F$2272,6,FALSE)</f>
        <v>83</v>
      </c>
      <c r="DJ644" s="203" t="s">
        <v>67</v>
      </c>
      <c r="DK644" s="10">
        <f>DI644*1.2</f>
        <v>99.6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VLOOKUP(DO644,$A$681:$F$2272,6,FALSE)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VLOOKUP(DX644,$A$681:$F$2272,6,FALSE)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VLOOKUP(EG644,$A$681:$F$2272,6,FALSE)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2568</v>
      </c>
      <c r="ER644" s="204"/>
      <c r="ES644" s="204">
        <f>VLOOKUP(EP644,$A$681:$F$2272,6,FALSE)</f>
        <v>83</v>
      </c>
      <c r="ET644" s="203" t="s">
        <v>67</v>
      </c>
      <c r="EU644" s="10">
        <f>ES644*1.2</f>
        <v>99.6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VLOOKUP(EY644,$A$681:$F$2272,6,FALSE)</f>
        <v>63</v>
      </c>
      <c r="FC644" s="203" t="s">
        <v>67</v>
      </c>
      <c r="FD644" s="10">
        <f>FB644*1.2</f>
        <v>75.599999999999994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VLOOKUP(FH644,$A$681:$F$2272,6,FALSE)</f>
        <v>70</v>
      </c>
      <c r="FL644" s="203" t="s">
        <v>67</v>
      </c>
      <c r="FM644" s="10">
        <f>FK644*1.2</f>
        <v>84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VLOOKUP(FQ644,$A$681:$F$2272,6,FALSE)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VLOOKUP(FZ644,$A$681:$F$2272,6,FALSE)</f>
        <v>70</v>
      </c>
      <c r="GD644" s="203" t="s">
        <v>67</v>
      </c>
      <c r="GE644" s="10">
        <f>GC644*1.2</f>
        <v>84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VLOOKUP(GI644,$A$681:$F$2272,6,FALSE)</f>
        <v>70</v>
      </c>
      <c r="GM644" s="203" t="s">
        <v>67</v>
      </c>
      <c r="GN644" s="10">
        <f>GL644*1.2</f>
        <v>84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VLOOKUP(GR644,$A$681:$F$2272,6,FALSE)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VLOOKUP(HA644,$A$681:$F$2272,6,FALSE)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VLOOKUP(HJ644,$A$681:$F$2272,6,FALSE)</f>
        <v>35</v>
      </c>
      <c r="HN644" s="203" t="s">
        <v>67</v>
      </c>
      <c r="HO644" s="10">
        <f>HM644*1.2</f>
        <v>42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VLOOKUP(HS644,$A$681:$F$2272,6,FALSE)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VLOOKUP(IB644,$A$681:$F$2272,6,FALSE)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VLOOKUP(IK644,$A$681:$F$2272,6,FALSE)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VLOOKUP(IT644,$A$681:$F$2272,6,FALSE)</f>
        <v>70</v>
      </c>
      <c r="IX644" s="203" t="s">
        <v>67</v>
      </c>
      <c r="IY644" s="10">
        <f>IW644*1.2</f>
        <v>84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VLOOKUP(JC644,$A$681:$F$2272,6,FALSE)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VLOOKUP(JL644,$A$681:$F$2272,6,FALSE)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2063</v>
      </c>
      <c r="JW644" s="204"/>
      <c r="JX644" s="204">
        <f>VLOOKUP(JU644,$A$681:$F$2272,6,FALSE)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VLOOKUP(KD644,$A$681:$F$2272,6,FALSE)</f>
        <v>35</v>
      </c>
      <c r="KH644" s="203" t="s">
        <v>67</v>
      </c>
      <c r="KI644" s="10">
        <f>KG644*1.2</f>
        <v>42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VLOOKUP(KM644,$A$681:$F$2272,6,FALSE)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VLOOKUP(KV644,$A$681:$F$2272,6,FALSE)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VLOOKUP(LE644,$A$681:$F$2272,6,FALSE)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VLOOKUP(LN644,$A$681:$F$2272,6,FALSE)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VLOOKUP(LW644,$A$681:$F$2272,6,FALSE)</f>
        <v>35</v>
      </c>
      <c r="MA644" s="203" t="s">
        <v>67</v>
      </c>
      <c r="MB644" s="10">
        <f>LZ644*1.2</f>
        <v>42</v>
      </c>
      <c r="MC644" s="10"/>
      <c r="MD644" s="268"/>
      <c r="ME644" s="203" t="s">
        <v>103</v>
      </c>
      <c r="MF644" s="277" t="s">
        <v>2568</v>
      </c>
      <c r="MH644" s="204"/>
      <c r="MI644" s="204">
        <f>VLOOKUP(MF644,$A$681:$F$2272,6,FALSE)</f>
        <v>83</v>
      </c>
      <c r="MJ644" s="203" t="s">
        <v>67</v>
      </c>
      <c r="MK644" s="10">
        <f>MI644*1.2</f>
        <v>99.6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VLOOKUP(MO644,$A$681:$F$2272,6,FALSE)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VLOOKUP(MX644,$A$681:$F$2272,6,FALSE)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VLOOKUP(NG644,$A$681:$F$2272,6,FALSE)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VLOOKUP(NP644,$A$681:$F$2272,6,FALSE)</f>
        <v>68</v>
      </c>
      <c r="NT644" s="203" t="s">
        <v>67</v>
      </c>
      <c r="NU644" s="10">
        <f>NS644*1.2</f>
        <v>81.599999999999994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VLOOKUP(NY644,$A$681:$F$2272,6,FALSE)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VLOOKUP(OH644,$A$681:$F$2272,6,FALSE)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VLOOKUP(OQ644,$A$681:$F$2272,6,FALSE)</f>
        <v>68</v>
      </c>
      <c r="OU644" s="203" t="s">
        <v>67</v>
      </c>
      <c r="OV644" s="10">
        <f>OT644*1.2</f>
        <v>81.599999999999994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VLOOKUP(OZ644,$A$681:$F$2272,6,FALSE)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VLOOKUP(PI644,$A$681:$F$2272,6,FALSE)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VLOOKUP(PR644,$A$681:$F$2272,6,FALSE)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VLOOKUP(QA644,$A$681:$F$2272,6,FALSE)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VLOOKUP(QJ644,$A$681:$F$2272,6,FALSE)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2568</v>
      </c>
      <c r="QU644" s="204"/>
      <c r="QV644" s="204">
        <f>VLOOKUP(QS644,$A$681:$F$2272,6,FALSE)</f>
        <v>83</v>
      </c>
      <c r="QW644" s="203" t="s">
        <v>67</v>
      </c>
      <c r="QX644" s="10">
        <f>QV644*1.2</f>
        <v>99.6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VLOOKUP(RB644,$A$681:$F$2272,6,FALSE)</f>
        <v>6</v>
      </c>
      <c r="RF644" s="203" t="s">
        <v>67</v>
      </c>
      <c r="RG644" s="10">
        <f>RE644*1.2</f>
        <v>7.1999999999999993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VLOOKUP(RK644,$A$681:$F$2272,6,FALSE)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VLOOKUP(RT644,$A$681:$F$2272,6,FALSE)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VLOOKUP(SC644,$A$681:$F$2272,6,FALSE)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VLOOKUP(SL644,$A$681:$F$2272,6,FALSE)</f>
        <v>35</v>
      </c>
      <c r="SP644" s="203" t="s">
        <v>67</v>
      </c>
      <c r="SQ644" s="10">
        <f>SO644*1.2</f>
        <v>42</v>
      </c>
      <c r="SR644" s="10"/>
      <c r="SS644" s="274"/>
      <c r="ST644" s="203" t="s">
        <v>103</v>
      </c>
      <c r="SU644" s="277" t="s">
        <v>2108</v>
      </c>
      <c r="SW644" s="204"/>
      <c r="SX644" s="204">
        <f>VLOOKUP(SU644,$A$681:$F$2272,6,FALSE)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VLOOKUP(TD644,$A$681:$F$2272,6,FALSE)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2555</v>
      </c>
      <c r="TO644" s="204"/>
      <c r="TP644" s="204">
        <f>VLOOKUP(TM644,$A$681:$F$2272,6,FALSE)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2071</v>
      </c>
      <c r="TX644" s="204"/>
      <c r="TY644" s="204">
        <f>VLOOKUP(TV644,$A$681:$F$2272,6,FALSE)</f>
        <v>75</v>
      </c>
      <c r="TZ644" s="203" t="s">
        <v>67</v>
      </c>
      <c r="UA644" s="10">
        <f>TY644*1.2</f>
        <v>90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VLOOKUP(UE644,$A$681:$F$2272,6,FALSE)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2059</v>
      </c>
      <c r="UP644" s="204"/>
      <c r="UQ644" s="204">
        <f>VLOOKUP(UN644,$A$681:$F$2272,6,FALSE)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VLOOKUP(UW644,$A$681:$F$2272,6,FALSE)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2077</v>
      </c>
      <c r="VH644" s="204"/>
      <c r="VI644" s="204">
        <f>VLOOKUP(VF644,$A$681:$F$2272,6,FALSE)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2621</v>
      </c>
      <c r="VQ644" s="204"/>
      <c r="VR644" s="204">
        <f>VLOOKUP(VO644,$A$681:$F$2272,6,FALSE)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VLOOKUP(VX644,$A$681:$F$2272,6,FALSE)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2521</v>
      </c>
      <c r="WI644" s="204"/>
      <c r="WJ644" s="204">
        <f>VLOOKUP(WG644,$A$681:$F$2272,6,FALSE)</f>
        <v>8</v>
      </c>
      <c r="WK644" s="203" t="s">
        <v>67</v>
      </c>
      <c r="WL644" s="10">
        <f>WJ644*1.2</f>
        <v>9.6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VLOOKUP(WP644,$A$681:$F$2272,6,FALSE)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VLOOKUP(WY644,$A$681:$F$2272,6,FALSE)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VLOOKUP(XH644,$A$681:$F$2272,6,FALSE)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VLOOKUP(XQ644,$A$681:$F$2272,6,FALSE)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VLOOKUP(XZ644,$A$681:$F$2272,6,FALSE)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VLOOKUP(YI644,$A$681:$F$2272,6,FALSE)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VLOOKUP(YR644,$A$681:$F$2272,6,FALSE)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VLOOKUP(ZA644,$A$681:$F$2272,6,FALSE)</f>
        <v>27</v>
      </c>
      <c r="ZE644" s="203" t="s">
        <v>67</v>
      </c>
      <c r="ZF644" s="10">
        <f>ZD644*1.2</f>
        <v>32.4</v>
      </c>
      <c r="ZH644" s="274"/>
      <c r="ZI644" s="203" t="s">
        <v>103</v>
      </c>
      <c r="ZJ644" s="277" t="s">
        <v>454</v>
      </c>
      <c r="ZL644" s="204"/>
      <c r="ZM644" s="204">
        <f>VLOOKUP(ZJ644,$A$681:$F$2272,6,FALSE)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VLOOKUP(ZS644,$A$681:$F$2272,6,FALSE)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VLOOKUP(AAB644,$A$681:$F$2272,6,FALSE)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2077</v>
      </c>
      <c r="AAM644" s="204"/>
      <c r="AAN644" s="204">
        <f>VLOOKUP(AAK644,$A$681:$F$2272,6,FALSE)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VLOOKUP(AAT644,$A$681:$F$2272,6,FALSE)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VLOOKUP(ABC644,$A$681:$F$2272,6,FALSE)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VLOOKUP(ABL644,$A$681:$F$2272,6,FALSE)</f>
        <v>96</v>
      </c>
      <c r="ABP644" s="203" t="s">
        <v>67</v>
      </c>
      <c r="ABQ644" s="10">
        <f>ABO644*1.2</f>
        <v>115.19999999999999</v>
      </c>
      <c r="ABR644" s="10"/>
      <c r="ABS644" s="274"/>
      <c r="ABT644" s="203" t="s">
        <v>103</v>
      </c>
      <c r="ABU644" s="277" t="s">
        <v>2077</v>
      </c>
      <c r="ABW644" s="204"/>
      <c r="ABX644" s="204">
        <f>VLOOKUP(ABU644,$A$681:$F$2272,6,FALSE)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VLOOKUP(ACD644,$A$681:$F$2272,6,FALSE)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VLOOKUP(ACM644,$A$681:$F$2272,6,FALSE)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VLOOKUP(ACV644,$A$681:$F$2272,6,FALSE)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VLOOKUP(ADE644,$A$681:$F$2272,6,FALSE)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VLOOKUP(ADN644,$A$681:$F$2272,6,FALSE)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VLOOKUP(ADW644,$A$681:$F$2272,6,FALSE)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VLOOKUP(AEF644,$A$681:$F$2272,6,FALSE)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VLOOKUP(AEO644,$A$681:$F$2272,6,FALSE)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VLOOKUP(AEX644,$A$681:$F$2272,6,FALSE)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VLOOKUP(AFG644,$A$681:$F$2272,6,FALSE)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VLOOKUP(AFP644,$A$681:$F$2272,6,FALSE)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VLOOKUP(AFY644,$A$681:$F$2272,6,FALSE)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VLOOKUP(AGH644,$A$681:$F$2272,6,FALSE)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VLOOKUP(AGQ644,$A$681:$F$2272,6,FALSE)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VLOOKUP(AGZ644,$A$681:$F$2272,6,FALSE)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VLOOKUP(AHI644,$A$681:$F$2272,6,FALSE)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VLOOKUP(AHR644,$A$681:$F$2272,6,FALSE)</f>
        <v>63</v>
      </c>
      <c r="AHV644" s="203" t="s">
        <v>67</v>
      </c>
      <c r="AHW644" s="10">
        <f>AHU644*1.2</f>
        <v>75.599999999999994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VLOOKUP(AIA644,$A$681:$F$2272,6,FALSE)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VLOOKUP(AIJ644,$A$681:$F$2272,6,FALSE)</f>
        <v>68</v>
      </c>
      <c r="AIN644" s="203" t="s">
        <v>67</v>
      </c>
      <c r="AIO644" s="10">
        <f>AIM644*1.2</f>
        <v>81.599999999999994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VLOOKUP(AIS644,$A$681:$F$2272,6,FALSE)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VLOOKUP(AJB644,$A$681:$F$2272,6,FALSE)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2568</v>
      </c>
      <c r="AJM644" s="204"/>
      <c r="AJN644" s="204">
        <f>VLOOKUP(AJK644,$A$681:$F$2272,6,FALSE)</f>
        <v>83</v>
      </c>
      <c r="AJO644" s="203" t="s">
        <v>67</v>
      </c>
      <c r="AJP644" s="10">
        <f>AJN644*1.2</f>
        <v>99.6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VLOOKUP(AJT644,$A$681:$F$2272,6,FALSE)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VLOOKUP(AKC644,$A$681:$F$2272,6,FALSE)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VLOOKUP(AKL644,$A$681:$F$2272,6,FALSE)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VLOOKUP(AKU644,$A$681:$F$2272,6,FALSE)</f>
        <v>68</v>
      </c>
      <c r="AKY644" s="203" t="s">
        <v>67</v>
      </c>
      <c r="AKZ644" s="10">
        <f>AKX644*1.2</f>
        <v>81.599999999999994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VLOOKUP(ALD644,$A$681:$F$2272,6,FALSE)</f>
        <v>6</v>
      </c>
      <c r="ALH644" s="203" t="s">
        <v>67</v>
      </c>
      <c r="ALI644" s="10">
        <f>ALG644*1.2</f>
        <v>7.1999999999999993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VLOOKUP(ALM644,$A$681:$F$2272,6,FALSE)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VLOOKUP(ALV644,$A$681:$F$2272,6,FALSE)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VLOOKUP(AME644,$A$681:$F$2272,6,FALSE)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VLOOKUP(AMN644,$A$681:$F$2272,6,FALSE)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VLOOKUP(AMW644,$A$681:$F$2272,6,FALSE)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VLOOKUP(ANF644,$A$681:$F$2272,6,FALSE)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VLOOKUP(ANO644,$A$681:$F$2272,6,FALSE)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VLOOKUP(ANX644,$A$681:$F$2272,6,FALSE)</f>
        <v>70</v>
      </c>
      <c r="AOB644" s="203" t="s">
        <v>67</v>
      </c>
      <c r="AOC644" s="10">
        <f>AOA644*1.2</f>
        <v>84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VLOOKUP(AOG644,$A$681:$F$2272,6,FALSE)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VLOOKUP(AOP644,$A$681:$F$2272,6,FALSE)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VLOOKUP(AOY644,$A$681:$F$2272,6,FALSE)</f>
        <v>35</v>
      </c>
      <c r="APC644" s="203" t="s">
        <v>67</v>
      </c>
      <c r="APD644" s="10">
        <f>APB644*1.2</f>
        <v>42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VLOOKUP(APH644,$A$681:$F$2272,6,FALSE)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VLOOKUP(APQ644,$A$681:$F$2272,6,FALSE)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2568</v>
      </c>
      <c r="AQB644" s="204"/>
      <c r="AQC644" s="204">
        <f>VLOOKUP(APZ644,$A$681:$F$2272,6,FALSE)</f>
        <v>83</v>
      </c>
      <c r="AQD644" s="203" t="s">
        <v>67</v>
      </c>
      <c r="AQE644" s="10">
        <f>AQC644*1.2</f>
        <v>99.6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VLOOKUP(B645,$A$681:$F$2272,6,FALSE)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VLOOKUP(K645,$A$681:$F$2272,6,FALSE)</f>
        <v>27</v>
      </c>
      <c r="O645" s="203" t="s">
        <v>69</v>
      </c>
      <c r="P645" s="10">
        <f>N645*1.1</f>
        <v>29.700000000000003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VLOOKUP(T645,$A$681:$F$2272,6,FALSE)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VLOOKUP(AC645,$A$681:$F$2272,6,FALSE)</f>
        <v>27</v>
      </c>
      <c r="AG645" s="203" t="s">
        <v>69</v>
      </c>
      <c r="AH645" s="10">
        <f>AF645*1.1</f>
        <v>29.700000000000003</v>
      </c>
      <c r="AI645" s="10"/>
      <c r="AJ645" s="268"/>
      <c r="AK645" s="203" t="s">
        <v>104</v>
      </c>
      <c r="AL645" s="277" t="s">
        <v>2568</v>
      </c>
      <c r="AN645" s="204"/>
      <c r="AO645" s="204">
        <f>VLOOKUP(AL645,$A$681:$F$2272,6,FALSE)</f>
        <v>83</v>
      </c>
      <c r="AP645" s="203" t="s">
        <v>69</v>
      </c>
      <c r="AQ645" s="10">
        <f>AO645*1.1</f>
        <v>91.300000000000011</v>
      </c>
      <c r="AR645" s="10"/>
      <c r="AS645" s="268"/>
      <c r="AT645" s="203" t="s">
        <v>104</v>
      </c>
      <c r="AU645" s="277" t="s">
        <v>2621</v>
      </c>
      <c r="AW645" s="204"/>
      <c r="AX645" s="204">
        <f>VLOOKUP(AU645,$A$681:$F$2272,6,FALSE)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VLOOKUP(BD645,$A$681:$F$2272,6,FALSE)</f>
        <v>70</v>
      </c>
      <c r="BH645" s="203" t="s">
        <v>69</v>
      </c>
      <c r="BI645" s="10">
        <f>BG645*1.1</f>
        <v>77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VLOOKUP(BM645,$A$681:$F$2272,6,FALSE)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VLOOKUP(BV645,$A$681:$F$2272,6,FALSE)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VLOOKUP(CE645,$A$681:$F$2272,6,FALSE)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VLOOKUP(CN645,$A$681:$F$2272,6,FALSE)</f>
        <v>93</v>
      </c>
      <c r="CR645" s="203" t="s">
        <v>69</v>
      </c>
      <c r="CS645" s="10">
        <f>CQ645*1.1</f>
        <v>102.30000000000001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VLOOKUP(CW645,$A$681:$F$2272,6,FALSE)</f>
        <v>27</v>
      </c>
      <c r="DA645" s="203" t="s">
        <v>69</v>
      </c>
      <c r="DB645" s="10">
        <f>CZ645*1.1</f>
        <v>29.700000000000003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VLOOKUP(DF645,$A$681:$F$2272,6,FALSE)</f>
        <v>70</v>
      </c>
      <c r="DJ645" s="203" t="s">
        <v>69</v>
      </c>
      <c r="DK645" s="10">
        <f>DI645*1.1</f>
        <v>77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VLOOKUP(DO645,$A$681:$F$2272,6,FALSE)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VLOOKUP(DX645,$A$681:$F$2272,6,FALSE)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VLOOKUP(EG645,$A$681:$F$2272,6,FALSE)</f>
        <v>68</v>
      </c>
      <c r="EK645" s="203" t="s">
        <v>69</v>
      </c>
      <c r="EL645" s="10">
        <f>EJ645*1.1</f>
        <v>74.800000000000011</v>
      </c>
      <c r="EM645" s="10"/>
      <c r="EN645" s="268"/>
      <c r="EO645" s="203" t="s">
        <v>104</v>
      </c>
      <c r="EP645" s="277" t="s">
        <v>2077</v>
      </c>
      <c r="ER645" s="204"/>
      <c r="ES645" s="204">
        <f>VLOOKUP(EP645,$A$681:$F$2272,6,FALSE)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2568</v>
      </c>
      <c r="FA645" s="204"/>
      <c r="FB645" s="204">
        <f>VLOOKUP(EY645,$A$681:$F$2272,6,FALSE)</f>
        <v>83</v>
      </c>
      <c r="FC645" s="203" t="s">
        <v>69</v>
      </c>
      <c r="FD645" s="10">
        <f>FB645*1.1</f>
        <v>91.300000000000011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VLOOKUP(FH645,$A$681:$F$2272,6,FALSE)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VLOOKUP(FQ645,$A$681:$F$2272,6,FALSE)</f>
        <v>70</v>
      </c>
      <c r="FU645" s="203" t="s">
        <v>69</v>
      </c>
      <c r="FV645" s="10">
        <f>FT645*1.1</f>
        <v>77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VLOOKUP(FZ645,$A$681:$F$2272,6,FALSE)</f>
        <v>63</v>
      </c>
      <c r="GD645" s="203" t="s">
        <v>69</v>
      </c>
      <c r="GE645" s="10">
        <f>GC645*1.1</f>
        <v>69.300000000000011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VLOOKUP(GI645,$A$681:$F$2272,6,FALSE)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VLOOKUP(GR645,$A$681:$F$2272,6,FALSE)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VLOOKUP(HA645,$A$681:$F$2272,6,FALSE)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VLOOKUP(HJ645,$A$681:$F$2272,6,FALSE)</f>
        <v>70</v>
      </c>
      <c r="HN645" s="203" t="s">
        <v>69</v>
      </c>
      <c r="HO645" s="10">
        <f>HM645*1.1</f>
        <v>77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VLOOKUP(HS645,$A$681:$F$2272,6,FALSE)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VLOOKUP(IB645,$A$681:$F$2272,6,FALSE)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VLOOKUP(IK645,$A$681:$F$2272,6,FALSE)</f>
        <v>27</v>
      </c>
      <c r="IO645" s="203" t="s">
        <v>69</v>
      </c>
      <c r="IP645" s="10">
        <f>IN645*1.1</f>
        <v>29.700000000000003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VLOOKUP(IT645,$A$681:$F$2272,6,FALSE)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VLOOKUP(JC645,$A$681:$F$2272,6,FALSE)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VLOOKUP(JL645,$A$681:$F$2272,6,FALSE)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VLOOKUP(JU645,$A$681:$F$2272,6,FALSE)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VLOOKUP(KD645,$A$681:$F$2272,6,FALSE)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2059</v>
      </c>
      <c r="KO645" s="204"/>
      <c r="KP645" s="204">
        <f>VLOOKUP(KM645,$A$681:$F$2272,6,FALSE)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2568</v>
      </c>
      <c r="KX645" s="204"/>
      <c r="KY645" s="204">
        <f>VLOOKUP(KV645,$A$681:$F$2272,6,FALSE)</f>
        <v>83</v>
      </c>
      <c r="KZ645" s="203" t="s">
        <v>69</v>
      </c>
      <c r="LA645" s="10">
        <f>KY645*1.1</f>
        <v>91.300000000000011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VLOOKUP(LE645,$A$681:$F$2272,6,FALSE)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VLOOKUP(LN645,$A$681:$F$2272,6,FALSE)</f>
        <v>70</v>
      </c>
      <c r="LR645" s="203" t="s">
        <v>69</v>
      </c>
      <c r="LS645" s="10">
        <f>LQ645*1.1</f>
        <v>77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VLOOKUP(LW645,$A$681:$F$2272,6,FALSE)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2077</v>
      </c>
      <c r="MH645" s="204"/>
      <c r="MI645" s="204">
        <f>VLOOKUP(MF645,$A$681:$F$2272,6,FALSE)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VLOOKUP(MO645,$A$681:$F$2272,6,FALSE)</f>
        <v>70</v>
      </c>
      <c r="MS645" s="203" t="s">
        <v>69</v>
      </c>
      <c r="MT645" s="10">
        <f>MR645*1.1</f>
        <v>77</v>
      </c>
      <c r="MU645" s="10"/>
      <c r="MV645" s="268"/>
      <c r="MW645" s="203" t="s">
        <v>104</v>
      </c>
      <c r="MX645" s="277" t="s">
        <v>2568</v>
      </c>
      <c r="MZ645" s="204"/>
      <c r="NA645" s="204">
        <f>VLOOKUP(MX645,$A$681:$F$2272,6,FALSE)</f>
        <v>83</v>
      </c>
      <c r="NB645" s="203" t="s">
        <v>69</v>
      </c>
      <c r="NC645" s="10">
        <f>NA645*1.1</f>
        <v>91.300000000000011</v>
      </c>
      <c r="ND645" s="10"/>
      <c r="NE645" s="268"/>
      <c r="NF645" s="203" t="s">
        <v>104</v>
      </c>
      <c r="NG645" s="277" t="s">
        <v>2621</v>
      </c>
      <c r="NI645" s="204"/>
      <c r="NJ645" s="204">
        <f>VLOOKUP(NG645,$A$681:$F$2272,6,FALSE)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VLOOKUP(NP645,$A$681:$F$2272,6,FALSE)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VLOOKUP(NY645,$A$681:$F$2272,6,FALSE)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VLOOKUP(OH645,$A$681:$F$2272,6,FALSE)</f>
        <v>27</v>
      </c>
      <c r="OL645" s="203" t="s">
        <v>69</v>
      </c>
      <c r="OM645" s="10">
        <f>OK645*1.1</f>
        <v>29.700000000000003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VLOOKUP(OQ645,$A$681:$F$2272,6,FALSE)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VLOOKUP(OZ645,$A$681:$F$2272,6,FALSE)</f>
        <v>70</v>
      </c>
      <c r="PD645" s="203" t="s">
        <v>69</v>
      </c>
      <c r="PE645" s="10">
        <f>PC645*1.1</f>
        <v>77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VLOOKUP(PI645,$A$681:$F$2272,6,FALSE)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VLOOKUP(PR645,$A$681:$F$2272,6,FALSE)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VLOOKUP(QA645,$A$681:$F$2272,6,FALSE)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VLOOKUP(QJ645,$A$681:$F$2272,6,FALSE)</f>
        <v>70</v>
      </c>
      <c r="QN645" s="203" t="s">
        <v>69</v>
      </c>
      <c r="QO645" s="10">
        <f>QM645*1.1</f>
        <v>77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VLOOKUP(QS645,$A$681:$F$2272,6,FALSE)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VLOOKUP(RB645,$A$681:$F$2272,6,FALSE)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VLOOKUP(RK645,$A$681:$F$2272,6,FALSE)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2621</v>
      </c>
      <c r="RV645" s="204"/>
      <c r="RW645" s="204">
        <f>VLOOKUP(RT645,$A$681:$F$2272,6,FALSE)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VLOOKUP(SC645,$A$681:$F$2272,6,FALSE)</f>
        <v>35</v>
      </c>
      <c r="SG645" s="203" t="s">
        <v>69</v>
      </c>
      <c r="SH645" s="10">
        <f>SF645*1.1</f>
        <v>38.5</v>
      </c>
      <c r="SI645" s="10"/>
      <c r="SJ645" s="274"/>
      <c r="SK645" s="203" t="s">
        <v>104</v>
      </c>
      <c r="SL645" s="277" t="s">
        <v>2077</v>
      </c>
      <c r="SN645" s="204"/>
      <c r="SO645" s="204">
        <f>VLOOKUP(SL645,$A$681:$F$2272,6,FALSE)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2521</v>
      </c>
      <c r="SW645" s="204"/>
      <c r="SX645" s="204">
        <f>VLOOKUP(SU645,$A$681:$F$2272,6,FALSE)</f>
        <v>8</v>
      </c>
      <c r="SY645" s="203" t="s">
        <v>69</v>
      </c>
      <c r="SZ645" s="10">
        <f>SX645*1.1</f>
        <v>8.8000000000000007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VLOOKUP(TD645,$A$681:$F$2272,6,FALSE)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VLOOKUP(TM645,$A$681:$F$2272,6,FALSE)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VLOOKUP(TV645,$A$681:$F$2272,6,FALSE)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VLOOKUP(UE645,$A$681:$F$2272,6,FALSE)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2568</v>
      </c>
      <c r="UP645" s="204"/>
      <c r="UQ645" s="204">
        <f>VLOOKUP(UN645,$A$681:$F$2272,6,FALSE)</f>
        <v>83</v>
      </c>
      <c r="UR645" s="203" t="s">
        <v>69</v>
      </c>
      <c r="US645" s="10">
        <f>UQ645*1.1</f>
        <v>91.300000000000011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VLOOKUP(UW645,$A$681:$F$2272,6,FALSE)</f>
        <v>27</v>
      </c>
      <c r="VA645" s="203" t="s">
        <v>69</v>
      </c>
      <c r="VB645" s="10">
        <f>UZ645*1.1</f>
        <v>29.700000000000003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VLOOKUP(VF645,$A$681:$F$2272,6,FALSE)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VLOOKUP(VO645,$A$681:$F$2272,6,FALSE)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VLOOKUP(VX645,$A$681:$F$2272,6,FALSE)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VLOOKUP(WG645,$A$681:$F$2272,6,FALSE)</f>
        <v>27</v>
      </c>
      <c r="WK645" s="203" t="s">
        <v>69</v>
      </c>
      <c r="WL645" s="10">
        <f>WJ645*1.1</f>
        <v>29.700000000000003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VLOOKUP(WP645,$A$681:$F$2272,6,FALSE)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VLOOKUP(WY645,$A$681:$F$2272,6,FALSE)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VLOOKUP(XH645,$A$681:$F$2272,6,FALSE)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VLOOKUP(XQ645,$A$681:$F$2272,6,FALSE)</f>
        <v>70</v>
      </c>
      <c r="XU645" s="203" t="s">
        <v>69</v>
      </c>
      <c r="XV645" s="10">
        <f>XT645*1.1</f>
        <v>77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VLOOKUP(XZ645,$A$681:$F$2272,6,FALSE)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VLOOKUP(YI645,$A$681:$F$2272,6,FALSE)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VLOOKUP(YR645,$A$681:$F$2272,6,FALSE)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VLOOKUP(ZA645,$A$681:$F$2272,6,FALSE)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VLOOKUP(ZJ645,$A$681:$F$2272,6,FALSE)</f>
        <v>35</v>
      </c>
      <c r="ZN645" s="203" t="s">
        <v>69</v>
      </c>
      <c r="ZO645" s="10">
        <f>ZM645*1.1</f>
        <v>38.5</v>
      </c>
      <c r="ZQ645" s="274"/>
      <c r="ZR645" s="203" t="s">
        <v>104</v>
      </c>
      <c r="ZS645" s="277" t="s">
        <v>446</v>
      </c>
      <c r="ZU645" s="204"/>
      <c r="ZV645" s="204">
        <f>VLOOKUP(ZS645,$A$681:$F$2272,6,FALSE)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VLOOKUP(AAB645,$A$681:$F$2272,6,FALSE)</f>
        <v>27</v>
      </c>
      <c r="AAF645" s="203" t="s">
        <v>69</v>
      </c>
      <c r="AAG645" s="10">
        <f>AAE645*1.1</f>
        <v>29.700000000000003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VLOOKUP(AAK645,$A$681:$F$2272,6,FALSE)</f>
        <v>8</v>
      </c>
      <c r="AAO645" s="203" t="s">
        <v>69</v>
      </c>
      <c r="AAP645" s="10">
        <f>AAN645*1.1</f>
        <v>8.8000000000000007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VLOOKUP(AAT645,$A$681:$F$2272,6,FALSE)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VLOOKUP(ABC645,$A$681:$F$2272,6,FALSE)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VLOOKUP(ABL645,$A$681:$F$2272,6,FALSE)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VLOOKUP(ABU645,$A$681:$F$2272,6,FALSE)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VLOOKUP(ACD645,$A$681:$F$2272,6,FALSE)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VLOOKUP(ACM645,$A$681:$F$2272,6,FALSE)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VLOOKUP(ACV645,$A$681:$F$2272,6,FALSE)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VLOOKUP(ADE645,$A$681:$F$2272,6,FALSE)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VLOOKUP(ADN645,$A$681:$F$2272,6,FALSE)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VLOOKUP(ADW645,$A$681:$F$2272,6,FALSE)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VLOOKUP(AEF645,$A$681:$F$2272,6,FALSE)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VLOOKUP(AEO645,$A$681:$F$2272,6,FALSE)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VLOOKUP(AEX645,$A$681:$F$2272,6,FALSE)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VLOOKUP(AFG645,$A$681:$F$2272,6,FALSE)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VLOOKUP(AFP645,$A$681:$F$2272,6,FALSE)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VLOOKUP(AFY645,$A$681:$F$2272,6,FALSE)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VLOOKUP(AGH645,$A$681:$F$2272,6,FALSE)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VLOOKUP(AGQ645,$A$681:$F$2272,6,FALSE)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VLOOKUP(AGZ645,$A$681:$F$2272,6,FALSE)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VLOOKUP(AHI645,$A$681:$F$2272,6,FALSE)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VLOOKUP(AHR645,$A$681:$F$2272,6,FALSE)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VLOOKUP(AIA645,$A$681:$F$2272,6,FALSE)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VLOOKUP(AIJ645,$A$681:$F$2272,6,FALSE)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VLOOKUP(AIS645,$A$681:$F$2272,6,FALSE)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VLOOKUP(AJB645,$A$681:$F$2272,6,FALSE)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VLOOKUP(AJK645,$A$681:$F$2272,6,FALSE)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VLOOKUP(AJT645,$A$681:$F$2272,6,FALSE)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VLOOKUP(AKC645,$A$681:$F$2272,6,FALSE)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VLOOKUP(AKL645,$A$681:$F$2272,6,FALSE)</f>
        <v>35</v>
      </c>
      <c r="AKP645" s="203" t="s">
        <v>69</v>
      </c>
      <c r="AKQ645" s="10">
        <f>AKO645*1.1</f>
        <v>38.5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VLOOKUP(AKU645,$A$681:$F$2272,6,FALSE)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2621</v>
      </c>
      <c r="ALF645" s="204"/>
      <c r="ALG645" s="204">
        <f>VLOOKUP(ALD645,$A$681:$F$2272,6,FALSE)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VLOOKUP(ALM645,$A$681:$F$2272,6,FALSE)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VLOOKUP(ALV645,$A$681:$F$2272,6,FALSE)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VLOOKUP(AME645,$A$681:$F$2272,6,FALSE)</f>
        <v>68</v>
      </c>
      <c r="AMI645" s="203" t="s">
        <v>69</v>
      </c>
      <c r="AMJ645" s="10">
        <f>AMH645*1.1</f>
        <v>74.800000000000011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VLOOKUP(AMN645,$A$681:$F$2272,6,FALSE)</f>
        <v>6</v>
      </c>
      <c r="AMR645" s="203" t="s">
        <v>69</v>
      </c>
      <c r="AMS645" s="10">
        <f>AMQ645*1.1</f>
        <v>6.6000000000000005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VLOOKUP(AMW645,$A$681:$F$2272,6,FALSE)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VLOOKUP(ANF645,$A$681:$F$2272,6,FALSE)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VLOOKUP(ANO645,$A$681:$F$2272,6,FALSE)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VLOOKUP(ANX645,$A$681:$F$2272,6,FALSE)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2063</v>
      </c>
      <c r="AOI645" s="204"/>
      <c r="AOJ645" s="204">
        <f>VLOOKUP(AOG645,$A$681:$F$2272,6,FALSE)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VLOOKUP(AOP645,$A$681:$F$2272,6,FALSE)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VLOOKUP(AOY645,$A$681:$F$2272,6,FALSE)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VLOOKUP(APH645,$A$681:$F$2272,6,FALSE)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VLOOKUP(APQ645,$A$681:$F$2272,6,FALSE)</f>
        <v>63</v>
      </c>
      <c r="APU645" s="203" t="s">
        <v>69</v>
      </c>
      <c r="APV645" s="10">
        <f>APT645*1.1</f>
        <v>69.300000000000011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VLOOKUP(APZ645,$A$681:$F$2272,6,FALSE)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229.8</v>
      </c>
      <c r="I646" s="268"/>
      <c r="J646" s="203"/>
      <c r="K646" s="415"/>
      <c r="M646" s="203"/>
      <c r="N646" s="203"/>
      <c r="O646" s="203"/>
      <c r="P646" s="10"/>
      <c r="Q646" s="10">
        <f>SUM(P641:P645)</f>
        <v>266.60000000000002</v>
      </c>
      <c r="R646" s="268"/>
      <c r="S646" s="203"/>
      <c r="T646" s="265"/>
      <c r="V646" s="203"/>
      <c r="W646" s="203"/>
      <c r="X646" s="203"/>
      <c r="Y646" s="10"/>
      <c r="Z646" s="10">
        <f>SUM(Y641:Y645)</f>
        <v>274.8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252.89999999999998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245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398.5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238.40000000000003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312.5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264.5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302.49999999999994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502.3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336.2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387.5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243.8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361.1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381.59999999999997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228.3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361.2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286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150.30000000000001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298.89999999999998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256.2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253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51.9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245.09999999999997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304.70000000000005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262.60000000000002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334.09999999999997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150.79999999999998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336.70000000000005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237.2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238.5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265.8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285.20000000000005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81.599999999999994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246.29999999999998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139.5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195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394.9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282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144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145.60000000000002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245.5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187.7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286.79999999999995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115.60000000000001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237.89999999999998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222.6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66.7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261.39999999999998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170.3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182.20000000000002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63.7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296.8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154.6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235.99999999999997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278.8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215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439.4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345.9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66.400000000000006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353.1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101.6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305.89999999999998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309.29999999999995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357.3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318.09999999999997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154.60000000000002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99.9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103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142.29999999999998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439.5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315.2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154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316.79999999999995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170.90000000000003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175.1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204.3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136.9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153.5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156.19999999999999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144.19999999999999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252.7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128.69999999999999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373.2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255.2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196.5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242.1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204.9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257.5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163.4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357.8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274.3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386.7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181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201.20000000000002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294.7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250.70000000000002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VLOOKUP(B647,$A$681:$F$2272,6,FALSE)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VLOOKUP(K647,$A$681:$F$2272,6,FALSE)</f>
        <v>58</v>
      </c>
      <c r="O647" s="203" t="s">
        <v>61</v>
      </c>
      <c r="P647" s="10">
        <f>N647*1.5*M647</f>
        <v>87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VLOOKUP(T647,$A$681:$F$2272,6,FALSE)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VLOOKUP(AC647,$A$681:$F$2272,6,FALSE)</f>
        <v>58</v>
      </c>
      <c r="AG647" s="203" t="s">
        <v>61</v>
      </c>
      <c r="AH647" s="10">
        <f>AF647*1.5*AE647</f>
        <v>87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VLOOKUP(AL647,$A$681:$F$2272,6,FALSE)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2087</v>
      </c>
      <c r="AW647" s="284">
        <f>IF(AV647="Kopman",1.9,1)</f>
        <v>1</v>
      </c>
      <c r="AX647" s="204">
        <f>VLOOKUP(AU647,$A$681:$F$2272,6,FALSE)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VLOOKUP(BD647,$A$681:$F$2272,6,FALSE)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VLOOKUP(BM647,$A$681:$F$2272,6,FALSE)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VLOOKUP(BV647,$A$681:$F$2272,6,FALSE)</f>
        <v>150</v>
      </c>
      <c r="BZ647" s="203" t="s">
        <v>61</v>
      </c>
      <c r="CA647" s="10">
        <f>BY647*1.5*BX647</f>
        <v>225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VLOOKUP(CE647,$A$681:$F$2272,6,FALSE)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2087</v>
      </c>
      <c r="CP647" s="284">
        <f>IF(CO647="Kopman",1.9,1)</f>
        <v>1</v>
      </c>
      <c r="CQ647" s="204">
        <f>VLOOKUP(CN647,$A$681:$F$2272,6,FALSE)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VLOOKUP(CW647,$A$681:$F$2272,6,FALSE)</f>
        <v>58</v>
      </c>
      <c r="DA647" s="203" t="s">
        <v>61</v>
      </c>
      <c r="DB647" s="10">
        <f>CZ647*1.5*CY647</f>
        <v>87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VLOOKUP(DF647,$A$681:$F$2272,6,FALSE)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VLOOKUP(DO647,$A$681:$F$2272,6,FALSE)</f>
        <v>33</v>
      </c>
      <c r="DS647" s="203" t="s">
        <v>61</v>
      </c>
      <c r="DT647" s="10">
        <f>DR647*1.5*DQ647</f>
        <v>49.5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VLOOKUP(DX647,$A$681:$F$2272,6,FALSE)</f>
        <v>#N/A</v>
      </c>
      <c r="EB647" s="203" t="s">
        <v>2024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VLOOKUP(EG647,$A$681:$F$2272,6,FALSE)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2087</v>
      </c>
      <c r="ER647" s="284">
        <f>IF(EQ647="Kopman",1.9,1)</f>
        <v>1</v>
      </c>
      <c r="ES647" s="204">
        <f>VLOOKUP(EP647,$A$681:$F$2272,6,FALSE)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2558</v>
      </c>
      <c r="FA647" s="284">
        <f>IF(EZ647="Kopman",1.9,1)</f>
        <v>1</v>
      </c>
      <c r="FB647" s="204">
        <f>VLOOKUP(EY647,$A$681:$F$2272,6,FALSE)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VLOOKUP(FH647,$A$681:$F$2272,6,FALSE)</f>
        <v>15</v>
      </c>
      <c r="FL647" s="203" t="s">
        <v>61</v>
      </c>
      <c r="FM647" s="10">
        <f>FK647*1.5*FJ647</f>
        <v>22.5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VLOOKUP(FQ647,$A$681:$F$2272,6,FALSE)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VLOOKUP(FZ647,$A$681:$F$2272,6,FALSE)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VLOOKUP(GI647,$A$681:$F$2272,6,FALSE)</f>
        <v>6</v>
      </c>
      <c r="GM647" s="203" t="s">
        <v>61</v>
      </c>
      <c r="GN647" s="10">
        <f>GL647*1.5*GK647</f>
        <v>9</v>
      </c>
      <c r="GO647" s="10"/>
      <c r="GP647" s="268"/>
      <c r="GQ647" s="203" t="s">
        <v>105</v>
      </c>
      <c r="GR647" s="277" t="s">
        <v>2348</v>
      </c>
      <c r="GT647" s="284">
        <f>IF(GS647="Kopman",1.9,1)</f>
        <v>1</v>
      </c>
      <c r="GU647" s="204">
        <f>VLOOKUP(GR647,$A$681:$F$2272,6,FALSE)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VLOOKUP(HA647,$A$681:$F$2272,6,FALSE)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VLOOKUP(HJ647,$A$681:$F$2272,6,FALSE)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VLOOKUP(HS647,$A$681:$F$2272,6,FALSE)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VLOOKUP(IB647,$A$681:$F$2272,6,FALSE)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VLOOKUP(IK647,$A$681:$F$2272,6,FALSE)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VLOOKUP(IT647,$A$681:$F$2272,6,FALSE)</f>
        <v>58</v>
      </c>
      <c r="IX647" s="203" t="s">
        <v>61</v>
      </c>
      <c r="IY647" s="10">
        <f>IW647*1.5*IV647</f>
        <v>87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VLOOKUP(JC647,$A$681:$F$2272,6,FALSE)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VLOOKUP(JL647,$A$681:$F$2272,6,FALSE)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VLOOKUP(JU647,$A$681:$F$2272,6,FALSE)</f>
        <v>7</v>
      </c>
      <c r="JY647" s="203" t="s">
        <v>61</v>
      </c>
      <c r="JZ647" s="10">
        <f>JX647*1.5*JW647</f>
        <v>10.5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VLOOKUP(KD647,$A$681:$F$2272,6,FALSE)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2069</v>
      </c>
      <c r="KO647" s="284">
        <f>IF(KN647="Kopman",1.9,1)</f>
        <v>1</v>
      </c>
      <c r="KP647" s="204">
        <f>VLOOKUP(KM647,$A$681:$F$2272,6,FALSE)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VLOOKUP(KV647,$A$681:$F$2272,6,FALSE)</f>
        <v>58</v>
      </c>
      <c r="KZ647" s="203" t="s">
        <v>61</v>
      </c>
      <c r="LA647" s="10">
        <f>KY647*1.5*KX647</f>
        <v>87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VLOOKUP(LE647,$A$681:$F$2272,6,FALSE)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VLOOKUP(LN647,$A$681:$F$2272,6,FALSE)</f>
        <v>33</v>
      </c>
      <c r="LR647" s="203" t="s">
        <v>61</v>
      </c>
      <c r="LS647" s="10">
        <f>LQ647*1.5*LP647</f>
        <v>49.5</v>
      </c>
      <c r="LT647" s="10"/>
      <c r="LU647" s="268"/>
      <c r="LV647" s="203" t="s">
        <v>105</v>
      </c>
      <c r="LW647" s="417" t="s">
        <v>2348</v>
      </c>
      <c r="LX647" s="416" t="s">
        <v>2023</v>
      </c>
      <c r="LY647" s="284">
        <f>IF(LX647="Kopman",1.9,1)</f>
        <v>1.9</v>
      </c>
      <c r="LZ647" s="204">
        <f>VLOOKUP(LW647,$A$681:$F$2272,6,FALSE)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VLOOKUP(MF647,$A$681:$F$2272,6,FALSE)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VLOOKUP(MO647,$A$681:$F$2272,6,FALSE)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VLOOKUP(MX647,$A$681:$F$2272,6,FALSE)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VLOOKUP(NG647,$A$681:$F$2272,6,FALSE)</f>
        <v>30</v>
      </c>
      <c r="NK647" s="203" t="s">
        <v>61</v>
      </c>
      <c r="NL647" s="10">
        <f>NJ647*1.5*NI647</f>
        <v>45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VLOOKUP(NP647,$A$681:$F$2272,6,FALSE)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2068</v>
      </c>
      <c r="OA647" s="284">
        <f>IF(NZ647="Kopman",1.9,1)</f>
        <v>1</v>
      </c>
      <c r="OB647" s="204">
        <f>VLOOKUP(NY647,$A$681:$F$2272,6,FALSE)</f>
        <v>31</v>
      </c>
      <c r="OC647" s="203" t="s">
        <v>61</v>
      </c>
      <c r="OD647" s="10">
        <f>OB647*1.5</f>
        <v>46.5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VLOOKUP(OH647,$A$681:$F$2272,6,FALSE)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VLOOKUP(OQ647,$A$681:$F$2272,6,FALSE)</f>
        <v>7</v>
      </c>
      <c r="OU647" s="203" t="s">
        <v>61</v>
      </c>
      <c r="OV647" s="10">
        <f>OT647*1.5*OS647</f>
        <v>10.5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VLOOKUP(OZ647,$A$681:$F$2272,6,FALSE)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VLOOKUP(PI647,$A$681:$F$2272,6,FALSE)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VLOOKUP(PR647,$A$681:$F$2272,6,FALSE)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VLOOKUP(QA647,$A$681:$F$2272,6,FALSE)</f>
        <v>7</v>
      </c>
      <c r="QE647" s="203" t="s">
        <v>61</v>
      </c>
      <c r="QF647" s="10">
        <f>QD647*1.5*QC647</f>
        <v>10.5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VLOOKUP(QJ647,$A$681:$F$2272,6,FALSE)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VLOOKUP(QS647,$A$681:$F$2272,6,FALSE)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VLOOKUP(RB647,$A$681:$F$2272,6,FALSE)</f>
        <v>11</v>
      </c>
      <c r="RF647" s="203" t="s">
        <v>61</v>
      </c>
      <c r="RG647" s="10">
        <f>RE647*1.5*RD647</f>
        <v>16.5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VLOOKUP(RK647,$A$681:$F$2272,6,FALSE)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VLOOKUP(RT647,$A$681:$F$2272,6,FALSE)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VLOOKUP(SC647,$A$681:$F$2272,6,FALSE)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VLOOKUP(SL647,$A$681:$F$2272,6,FALSE)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VLOOKUP(SU647,$A$681:$F$2272,6,FALSE)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VLOOKUP(TD647,$A$681:$F$2272,6,FALSE)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2797</v>
      </c>
      <c r="TO647" s="284">
        <f>IF(TN647="Kopman",1.9,1)</f>
        <v>1</v>
      </c>
      <c r="TP647" s="204">
        <f>VLOOKUP(TM647,$A$681:$F$2272,6,FALSE)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VLOOKUP(TV647,$A$681:$F$2272,6,FALSE)</f>
        <v>7</v>
      </c>
      <c r="TZ647" s="203" t="s">
        <v>61</v>
      </c>
      <c r="UA647" s="10">
        <f>TY647*1.5*TX647</f>
        <v>10.5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VLOOKUP(UE647,$A$681:$F$2272,6,FALSE)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VLOOKUP(UN647,$A$681:$F$2272,6,FALSE)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2101</v>
      </c>
      <c r="UY647" s="284">
        <f>IF(UX647="Kopman",1.9,1)</f>
        <v>1</v>
      </c>
      <c r="UZ647" s="204">
        <f>VLOOKUP(UW647,$A$681:$F$2272,6,FALSE)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VLOOKUP(VF647,$A$681:$F$2272,6,FALSE)</f>
        <v>33</v>
      </c>
      <c r="VJ647" s="203" t="s">
        <v>61</v>
      </c>
      <c r="VK647" s="10">
        <f>VI647*1.5*VH647</f>
        <v>49.5</v>
      </c>
      <c r="VL647" s="10"/>
      <c r="VM647" s="274"/>
      <c r="VN647" s="203" t="s">
        <v>105</v>
      </c>
      <c r="VO647" s="277" t="s">
        <v>2559</v>
      </c>
      <c r="VQ647" s="284">
        <f>IF(VP647="Kopman",1.9,1)</f>
        <v>1</v>
      </c>
      <c r="VR647" s="204">
        <f>VLOOKUP(VO647,$A$681:$F$2272,6,FALSE)</f>
        <v>105</v>
      </c>
      <c r="VS647" s="203" t="s">
        <v>61</v>
      </c>
      <c r="VT647" s="10">
        <f>VR647*1.5*VQ647</f>
        <v>157.5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VLOOKUP(VX647,$A$681:$F$2272,6,FALSE)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VLOOKUP(WG647,$A$681:$F$2272,6,FALSE)</f>
        <v>15</v>
      </c>
      <c r="WK647" s="203" t="s">
        <v>61</v>
      </c>
      <c r="WL647" s="10">
        <f>WJ647*1.5</f>
        <v>22.5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VLOOKUP(WP647,$A$681:$F$2272,6,FALSE)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VLOOKUP(WY647,$A$681:$F$2272,6,FALSE)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2608</v>
      </c>
      <c r="XJ647" s="284">
        <f>IF(XI647="Kopman",1.9,1)</f>
        <v>1</v>
      </c>
      <c r="XK647" s="204">
        <f>VLOOKUP(XH647,$A$681:$F$2272,6,FALSE)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VLOOKUP(XQ647,$A$681:$F$2272,6,FALSE)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VLOOKUP(XZ647,$A$681:$F$2272,6,FALSE)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VLOOKUP(YI647,$A$681:$F$2272,6,FALSE)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VLOOKUP(YR647,$A$681:$F$2272,6,FALSE)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2087</v>
      </c>
      <c r="ZC647" s="284">
        <f>IF(ZB647="Kopman",1.9,1)</f>
        <v>1</v>
      </c>
      <c r="ZD647" s="204">
        <f>VLOOKUP(ZA647,$A$681:$F$2272,6,FALSE)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VLOOKUP(ZJ647,$A$681:$F$2272,6,FALSE)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VLOOKUP(ZS647,$A$681:$F$2272,6,FALSE)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VLOOKUP(AAB647,$A$681:$F$2272,6,FALSE)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2069</v>
      </c>
      <c r="AAM647" s="284">
        <f>IF(AAL647="Kopman",1.9,1)</f>
        <v>1</v>
      </c>
      <c r="AAN647" s="204">
        <f>VLOOKUP(AAK647,$A$681:$F$2272,6,FALSE)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VLOOKUP(AAT647,$A$681:$F$2272,6,FALSE)</f>
        <v>11</v>
      </c>
      <c r="AAX647" s="203" t="s">
        <v>61</v>
      </c>
      <c r="AAY647" s="10">
        <f>AAW647*1.5*AAV647</f>
        <v>16.5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VLOOKUP(ABC647,$A$681:$F$2272,6,FALSE)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VLOOKUP(ABL647,$A$681:$F$2272,6,FALSE)</f>
        <v>7</v>
      </c>
      <c r="ABP647" s="203" t="s">
        <v>61</v>
      </c>
      <c r="ABQ647" s="10">
        <f>ABO647*1.5*ABN647</f>
        <v>10.5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VLOOKUP(ABU647,$A$681:$F$2272,6,FALSE)</f>
        <v>33</v>
      </c>
      <c r="ABY647" s="203" t="s">
        <v>61</v>
      </c>
      <c r="ABZ647" s="10">
        <f>ABX647*1.5*ABW647</f>
        <v>49.5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VLOOKUP(ACD647,$A$681:$F$2272,6,FALSE)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VLOOKUP(ACM647,$A$681:$F$2272,6,FALSE)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VLOOKUP(ACV647,$A$681:$F$2272,6,FALSE)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VLOOKUP(ADE647,$A$681:$F$2272,6,FALSE)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VLOOKUP(ADN647,$A$681:$F$2272,6,FALSE)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VLOOKUP(ADW647,$A$681:$F$2272,6,FALSE)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VLOOKUP(AEF647,$A$681:$F$2272,6,FALSE)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VLOOKUP(AEO647,$A$681:$F$2272,6,FALSE)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VLOOKUP(AEX647,$A$681:$F$2272,6,FALSE)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VLOOKUP(AFG647,$A$681:$F$2272,6,FALSE)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VLOOKUP(AFP647,$A$681:$F$2272,6,FALSE)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VLOOKUP(AFY647,$A$681:$F$2272,6,FALSE)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VLOOKUP(AGH647,$A$681:$F$2272,6,FALSE)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VLOOKUP(AGQ647,$A$681:$F$2272,6,FALSE)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VLOOKUP(AGZ647,$A$681:$F$2272,6,FALSE)</f>
        <v>150</v>
      </c>
      <c r="AHD647" s="203" t="s">
        <v>61</v>
      </c>
      <c r="AHE647" s="10">
        <f>AHC647*1.5*AHB647</f>
        <v>225</v>
      </c>
      <c r="AHF647" s="10"/>
      <c r="AHG647" s="274"/>
      <c r="AHH647" s="203" t="s">
        <v>105</v>
      </c>
      <c r="AHI647" s="277" t="s">
        <v>2086</v>
      </c>
      <c r="AHK647" s="284">
        <f>IF(AHJ647="Kopman",1.9,1)</f>
        <v>1</v>
      </c>
      <c r="AHL647" s="204">
        <f>VLOOKUP(AHI647,$A$681:$F$2272,6,FALSE)</f>
        <v>71</v>
      </c>
      <c r="AHM647" s="203" t="s">
        <v>61</v>
      </c>
      <c r="AHN647" s="10">
        <f>AHL647*1.5*AHK647</f>
        <v>106.5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VLOOKUP(AHR647,$A$681:$F$2272,6,FALSE)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2608</v>
      </c>
      <c r="AIC647" s="284">
        <f>IF(AIB647="Kopman",1.9,1)</f>
        <v>1</v>
      </c>
      <c r="AID647" s="204">
        <f>VLOOKUP(AIA647,$A$681:$F$2272,6,FALSE)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VLOOKUP(AIJ647,$A$681:$F$2272,6,FALSE)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VLOOKUP(AIS647,$A$681:$F$2272,6,FALSE)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VLOOKUP(AJB647,$A$681:$F$2272,6,FALSE)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VLOOKUP(AJK647,$A$681:$F$2272,6,FALSE)</f>
        <v>33</v>
      </c>
      <c r="AJO647" s="203" t="s">
        <v>61</v>
      </c>
      <c r="AJP647" s="10">
        <f>AJN647*1.5*AJM647</f>
        <v>49.5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VLOOKUP(AJT647,$A$681:$F$2272,6,FALSE)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VLOOKUP(AKC647,$A$681:$F$2272,6,FALSE)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VLOOKUP(AKL647,$A$681:$F$2272,6,FALSE)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VLOOKUP(AKU647,$A$681:$F$2272,6,FALSE)</f>
        <v>7</v>
      </c>
      <c r="AKY647" s="203" t="s">
        <v>61</v>
      </c>
      <c r="AKZ647" s="10">
        <f>AKX647*1.5*AKW647</f>
        <v>10.5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VLOOKUP(ALD647,$A$681:$F$2272,6,FALSE)</f>
        <v>7</v>
      </c>
      <c r="ALH647" s="203" t="s">
        <v>61</v>
      </c>
      <c r="ALI647" s="10">
        <f>ALG647*1.5*ALF647</f>
        <v>10.5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VLOOKUP(ALM647,$A$681:$F$2272,6,FALSE)</f>
        <v>7</v>
      </c>
      <c r="ALQ647" s="203" t="s">
        <v>61</v>
      </c>
      <c r="ALR647" s="10">
        <f>ALP647*1.5*ALO647</f>
        <v>10.5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VLOOKUP(ALV647,$A$681:$F$2272,6,FALSE)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VLOOKUP(AME647,$A$681:$F$2272,6,FALSE)</f>
        <v>58</v>
      </c>
      <c r="AMI647" s="203" t="s">
        <v>61</v>
      </c>
      <c r="AMJ647" s="10">
        <f>AMH647*1.5*AMG647</f>
        <v>87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VLOOKUP(AMN647,$A$681:$F$2272,6,FALSE)</f>
        <v>7</v>
      </c>
      <c r="AMR647" s="203" t="s">
        <v>61</v>
      </c>
      <c r="AMS647" s="10">
        <f>AMQ647*1.5*AMP647</f>
        <v>10.5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VLOOKUP(AMW647,$A$681:$F$2272,6,FALSE)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VLOOKUP(ANF647,$A$681:$F$2272,6,FALSE)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2023</v>
      </c>
      <c r="ANQ647" s="284">
        <f>IF(ANP647="Kopman",1.9,1)</f>
        <v>1.9</v>
      </c>
      <c r="ANR647" s="204">
        <f>VLOOKUP(ANO647,$A$681:$F$2272,6,FALSE)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VLOOKUP(ANX647,$A$681:$F$2272,6,FALSE)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2078</v>
      </c>
      <c r="AOI647" s="284">
        <f>IF(AOH647="Kopman",1.9,1)</f>
        <v>1</v>
      </c>
      <c r="AOJ647" s="204">
        <f>VLOOKUP(AOG647,$A$681:$F$2272,6,FALSE)</f>
        <v>33</v>
      </c>
      <c r="AOK647" s="203" t="s">
        <v>61</v>
      </c>
      <c r="AOL647" s="10">
        <f>AOJ647*1.5*AOI647</f>
        <v>49.5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VLOOKUP(AOP647,$A$681:$F$2272,6,FALSE)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VLOOKUP(AOY647,$A$681:$F$2272,6,FALSE)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VLOOKUP(APH647,$A$681:$F$2272,6,FALSE)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VLOOKUP(APQ647,$A$681:$F$2272,6,FALSE)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VLOOKUP(APZ647,$A$681:$F$2272,6,FALSE)</f>
        <v>58</v>
      </c>
      <c r="AQD647" s="203" t="s">
        <v>61</v>
      </c>
      <c r="AQE647" s="10">
        <f>AQC647*1.5*AQB647</f>
        <v>87</v>
      </c>
      <c r="AQF647" s="10"/>
      <c r="AQG647" s="274"/>
    </row>
    <row r="648" spans="1:1125" s="14" customFormat="1" ht="15">
      <c r="A648" s="203" t="s">
        <v>106</v>
      </c>
      <c r="B648" s="277" t="s">
        <v>2348</v>
      </c>
      <c r="D648" s="204"/>
      <c r="E648" s="204">
        <f>VLOOKUP(B648,$A$681:$F$2272,6,FALSE)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VLOOKUP(K648,$A$681:$F$2272,6,FALSE)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VLOOKUP(T648,$A$681:$F$2272,6,FALSE)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VLOOKUP(AC648,$A$681:$F$2272,6,FALSE)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VLOOKUP(AL648,$A$681:$F$2272,6,FALSE)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2078</v>
      </c>
      <c r="AW648" s="204"/>
      <c r="AX648" s="204">
        <f>VLOOKUP(AU648,$A$681:$F$2272,6,FALSE)</f>
        <v>33</v>
      </c>
      <c r="AY648" s="203" t="s">
        <v>63</v>
      </c>
      <c r="AZ648" s="10">
        <f>AX648*1.4</f>
        <v>46.199999999999996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VLOOKUP(BD648,$A$681:$F$2272,6,FALSE)</f>
        <v>58</v>
      </c>
      <c r="BH648" s="203" t="s">
        <v>63</v>
      </c>
      <c r="BI648" s="10">
        <f>BG648*1.4</f>
        <v>81.199999999999989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VLOOKUP(BM648,$A$681:$F$2272,6,FALSE)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VLOOKUP(BV648,$A$681:$F$2272,6,FALSE)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VLOOKUP(CE648,$A$681:$F$2272,6,FALSE)</f>
        <v>7</v>
      </c>
      <c r="CI648" s="203" t="s">
        <v>63</v>
      </c>
      <c r="CJ648" s="10">
        <f>CH648*1.4</f>
        <v>9.7999999999999989</v>
      </c>
      <c r="CK648" s="10"/>
      <c r="CL648" s="268"/>
      <c r="CM648" s="203" t="s">
        <v>106</v>
      </c>
      <c r="CN648" s="277" t="s">
        <v>2348</v>
      </c>
      <c r="CP648" s="204"/>
      <c r="CQ648" s="204">
        <f>VLOOKUP(CN648,$A$681:$F$2272,6,FALSE)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VLOOKUP(CW648,$A$681:$F$2272,6,FALSE)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VLOOKUP(DF648,$A$681:$F$2272,6,FALSE)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VLOOKUP(DO648,$A$681:$F$2272,6,FALSE)</f>
        <v>7</v>
      </c>
      <c r="DS648" s="203" t="s">
        <v>63</v>
      </c>
      <c r="DT648" s="10">
        <f>DR648*1.4</f>
        <v>9.7999999999999989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VLOOKUP(DX648,$A$681:$F$2272,6,FALSE)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VLOOKUP(EG648,$A$681:$F$2272,6,FALSE)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VLOOKUP(EP648,$A$681:$F$2272,6,FALSE)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VLOOKUP(EY648,$A$681:$F$2272,6,FALSE)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2086</v>
      </c>
      <c r="FJ648" s="204"/>
      <c r="FK648" s="204">
        <f>VLOOKUP(FH648,$A$681:$F$2272,6,FALSE)</f>
        <v>71</v>
      </c>
      <c r="FL648" s="203" t="s">
        <v>63</v>
      </c>
      <c r="FM648" s="10">
        <f>FK648*1.4</f>
        <v>99.399999999999991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VLOOKUP(FQ648,$A$681:$F$2272,6,FALSE)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2348</v>
      </c>
      <c r="GB648" s="204"/>
      <c r="GC648" s="204">
        <f>VLOOKUP(FZ648,$A$681:$F$2272,6,FALSE)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VLOOKUP(GI648,$A$681:$F$2272,6,FALSE)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2797</v>
      </c>
      <c r="GT648" s="204"/>
      <c r="GU648" s="204">
        <f>VLOOKUP(GR648,$A$681:$F$2272,6,FALSE)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2348</v>
      </c>
      <c r="HC648" s="204"/>
      <c r="HD648" s="204">
        <f>VLOOKUP(HA648,$A$681:$F$2272,6,FALSE)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VLOOKUP(HJ648,$A$681:$F$2272,6,FALSE)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VLOOKUP(HS648,$A$681:$F$2272,6,FALSE)</f>
        <v>33</v>
      </c>
      <c r="HW648" s="203" t="s">
        <v>63</v>
      </c>
      <c r="HX648" s="10">
        <f>HV648*1.4</f>
        <v>46.199999999999996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VLOOKUP(IB648,$A$681:$F$2272,6,FALSE)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VLOOKUP(IK648,$A$681:$F$2272,6,FALSE)</f>
        <v>58</v>
      </c>
      <c r="IO648" s="203" t="s">
        <v>63</v>
      </c>
      <c r="IP648" s="10">
        <f>IN648*1.4</f>
        <v>81.199999999999989</v>
      </c>
      <c r="IQ648" s="10"/>
      <c r="IR648" s="268"/>
      <c r="IS648" s="203" t="s">
        <v>106</v>
      </c>
      <c r="IT648" s="277" t="s">
        <v>2559</v>
      </c>
      <c r="IV648" s="204"/>
      <c r="IW648" s="204">
        <f>VLOOKUP(IT648,$A$681:$F$2272,6,FALSE)</f>
        <v>105</v>
      </c>
      <c r="IX648" s="203" t="s">
        <v>63</v>
      </c>
      <c r="IY648" s="10">
        <f>IW648*1.4</f>
        <v>147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VLOOKUP(JC648,$A$681:$F$2272,6,FALSE)</f>
        <v>7</v>
      </c>
      <c r="JG648" s="203" t="s">
        <v>63</v>
      </c>
      <c r="JH648" s="10">
        <f>JF648*1.4</f>
        <v>9.7999999999999989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VLOOKUP(JL648,$A$681:$F$2272,6,FALSE)</f>
        <v>58</v>
      </c>
      <c r="JP648" s="203" t="s">
        <v>63</v>
      </c>
      <c r="JQ648" s="10">
        <f>JO648*1.4</f>
        <v>81.199999999999989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VLOOKUP(JU648,$A$681:$F$2272,6,FALSE)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VLOOKUP(KD648,$A$681:$F$2272,6,FALSE)</f>
        <v>150</v>
      </c>
      <c r="KH648" s="203" t="s">
        <v>63</v>
      </c>
      <c r="KI648" s="10">
        <f>KG648*1.4</f>
        <v>210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VLOOKUP(KM648,$A$681:$F$2272,6,FALSE)</f>
        <v>7</v>
      </c>
      <c r="KQ648" s="203" t="s">
        <v>63</v>
      </c>
      <c r="KR648" s="10">
        <f>KP648*1.4</f>
        <v>9.7999999999999989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VLOOKUP(KV648,$A$681:$F$2272,6,FALSE)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VLOOKUP(LE648,$A$681:$F$2272,6,FALSE)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VLOOKUP(LN648,$A$681:$F$2272,6,FALSE)</f>
        <v>11</v>
      </c>
      <c r="LR648" s="203" t="s">
        <v>63</v>
      </c>
      <c r="LS648" s="10">
        <f>LQ648*1.4</f>
        <v>15.399999999999999</v>
      </c>
      <c r="LT648" s="10"/>
      <c r="LU648" s="268"/>
      <c r="LV648" s="203" t="s">
        <v>106</v>
      </c>
      <c r="LW648" s="277" t="s">
        <v>2797</v>
      </c>
      <c r="LY648" s="204"/>
      <c r="LZ648" s="204">
        <f>VLOOKUP(LW648,$A$681:$F$2272,6,FALSE)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VLOOKUP(MF648,$A$681:$F$2272,6,FALSE)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VLOOKUP(MO648,$A$681:$F$2272,6,FALSE)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VLOOKUP(MX648,$A$681:$F$2272,6,FALSE)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VLOOKUP(NG648,$A$681:$F$2272,6,FALSE)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5" t="s">
        <v>2638</v>
      </c>
      <c r="NR648" s="204"/>
      <c r="NS648" s="204">
        <f>VLOOKUP(NP648,$A$681:$F$2272,6,FALSE)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VLOOKUP(NY648,$A$681:$F$2272,6,FALSE)</f>
        <v>33</v>
      </c>
      <c r="OC648" s="203" t="s">
        <v>63</v>
      </c>
      <c r="OD648" s="10">
        <f>OB648*1.4</f>
        <v>46.199999999999996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VLOOKUP(OH648,$A$681:$F$2272,6,FALSE)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VLOOKUP(OQ648,$A$681:$F$2272,6,FALSE)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VLOOKUP(OZ648,$A$681:$F$2272,6,FALSE)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VLOOKUP(PI648,$A$681:$F$2272,6,FALSE)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VLOOKUP(PR648,$A$681:$F$2272,6,FALSE)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2608</v>
      </c>
      <c r="QC648" s="204"/>
      <c r="QD648" s="204">
        <f>VLOOKUP(QA648,$A$681:$F$2272,6,FALSE)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VLOOKUP(QJ648,$A$681:$F$2272,6,FALSE)</f>
        <v>11</v>
      </c>
      <c r="QN648" s="203" t="s">
        <v>63</v>
      </c>
      <c r="QO648" s="10">
        <f>QM648*1.4</f>
        <v>15.399999999999999</v>
      </c>
      <c r="QP648" s="10"/>
      <c r="QQ648" s="268"/>
      <c r="QR648" s="203" t="s">
        <v>106</v>
      </c>
      <c r="QS648" s="277" t="s">
        <v>2087</v>
      </c>
      <c r="QU648" s="204"/>
      <c r="QV648" s="204">
        <f>VLOOKUP(QS648,$A$681:$F$2272,6,FALSE)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VLOOKUP(RB648,$A$681:$F$2272,6,FALSE)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VLOOKUP(RK648,$A$681:$F$2272,6,FALSE)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VLOOKUP(RT648,$A$681:$F$2272,6,FALSE)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VLOOKUP(SC648,$A$681:$F$2272,6,FALSE)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2348</v>
      </c>
      <c r="SN648" s="204"/>
      <c r="SO648" s="204">
        <f>VLOOKUP(SL648,$A$681:$F$2272,6,FALSE)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VLOOKUP(SU648,$A$681:$F$2272,6,FALSE)</f>
        <v>31</v>
      </c>
      <c r="SY648" s="203" t="s">
        <v>63</v>
      </c>
      <c r="SZ648" s="10">
        <f>SX648*1.4</f>
        <v>43.4</v>
      </c>
      <c r="TA648" s="10"/>
      <c r="TB648" s="274"/>
      <c r="TC648" s="203" t="s">
        <v>106</v>
      </c>
      <c r="TD648" s="429" t="s">
        <v>2069</v>
      </c>
      <c r="TF648" s="204"/>
      <c r="TG648" s="204">
        <f>VLOOKUP(TD648,$A$681:$F$2272,6,FALSE)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2087</v>
      </c>
      <c r="TO648" s="204"/>
      <c r="TP648" s="204">
        <f>VLOOKUP(TM648,$A$681:$F$2272,6,FALSE)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VLOOKUP(TV648,$A$681:$F$2272,6,FALSE)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VLOOKUP(UE648,$A$681:$F$2272,6,FALSE)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VLOOKUP(UN648,$A$681:$F$2272,6,FALSE)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VLOOKUP(UW648,$A$681:$F$2272,6,FALSE)</f>
        <v>7</v>
      </c>
      <c r="VA648" s="203" t="s">
        <v>63</v>
      </c>
      <c r="VB648" s="10">
        <f>UZ648*1.4</f>
        <v>9.7999999999999989</v>
      </c>
      <c r="VC648" s="10"/>
      <c r="VD648" s="274"/>
      <c r="VE648" s="203" t="s">
        <v>106</v>
      </c>
      <c r="VF648" s="277" t="s">
        <v>2797</v>
      </c>
      <c r="VH648" s="204"/>
      <c r="VI648" s="204">
        <f>VLOOKUP(VF648,$A$681:$F$2272,6,FALSE)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VLOOKUP(VO648,$A$681:$F$2272,6,FALSE)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VLOOKUP(VX648,$A$681:$F$2272,6,FALSE)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VLOOKUP(WG648,$A$681:$F$2272,6,FALSE)</f>
        <v>31</v>
      </c>
      <c r="WK648" s="203" t="s">
        <v>63</v>
      </c>
      <c r="WL648" s="10">
        <f>WJ648*1.4</f>
        <v>43.4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VLOOKUP(WP648,$A$681:$F$2272,6,FALSE)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VLOOKUP(WY648,$A$681:$F$2272,6,FALSE)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VLOOKUP(XH648,$A$681:$F$2272,6,FALSE)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VLOOKUP(XQ648,$A$681:$F$2272,6,FALSE)</f>
        <v>58</v>
      </c>
      <c r="XU648" s="203" t="s">
        <v>63</v>
      </c>
      <c r="XV648" s="10">
        <f>XT648*1.4</f>
        <v>81.199999999999989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VLOOKUP(XZ648,$A$681:$F$2272,6,FALSE)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VLOOKUP(YI648,$A$681:$F$2272,6,FALSE)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VLOOKUP(YR648,$A$681:$F$2272,6,FALSE)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2660</v>
      </c>
      <c r="ZC648" s="204"/>
      <c r="ZD648" s="204">
        <f>VLOOKUP(ZA648,$A$681:$F$2272,6,FALSE)</f>
        <v>74</v>
      </c>
      <c r="ZE648" s="203" t="s">
        <v>63</v>
      </c>
      <c r="ZF648" s="10">
        <f>ZD648*1.4</f>
        <v>103.6</v>
      </c>
      <c r="ZH648" s="274"/>
      <c r="ZI648" s="203" t="s">
        <v>106</v>
      </c>
      <c r="ZJ648" s="277" t="s">
        <v>552</v>
      </c>
      <c r="ZL648" s="204"/>
      <c r="ZM648" s="204">
        <f>VLOOKUP(ZJ648,$A$681:$F$2272,6,FALSE)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1687</v>
      </c>
      <c r="ZU648" s="204"/>
      <c r="ZV648" s="204">
        <f>VLOOKUP(ZS648,$A$681:$F$2272,6,FALSE)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VLOOKUP(AAB648,$A$681:$F$2272,6,FALSE)</f>
        <v>11</v>
      </c>
      <c r="AAF648" s="203" t="s">
        <v>63</v>
      </c>
      <c r="AAG648" s="10">
        <f>AAE648*1.4</f>
        <v>15.399999999999999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VLOOKUP(AAK648,$A$681:$F$2272,6,FALSE)</f>
        <v>7</v>
      </c>
      <c r="AAO648" s="203" t="s">
        <v>63</v>
      </c>
      <c r="AAP648" s="10">
        <f>AAN648*1.4</f>
        <v>9.7999999999999989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VLOOKUP(AAT648,$A$681:$F$2272,6,FALSE)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VLOOKUP(ABC648,$A$681:$F$2272,6,FALSE)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VLOOKUP(ABL648,$A$681:$F$2272,6,FALSE)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VLOOKUP(ABU648,$A$681:$F$2272,6,FALSE)</f>
        <v>7</v>
      </c>
      <c r="ABY648" s="203" t="s">
        <v>63</v>
      </c>
      <c r="ABZ648" s="10">
        <f>ABX648*1.4</f>
        <v>9.7999999999999989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VLOOKUP(ACD648,$A$681:$F$2272,6,FALSE)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VLOOKUP(ACM648,$A$681:$F$2272,6,FALSE)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VLOOKUP(ACV648,$A$681:$F$2272,6,FALSE)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VLOOKUP(ADE648,$A$681:$F$2272,6,FALSE)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VLOOKUP(ADN648,$A$681:$F$2272,6,FALSE)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VLOOKUP(ADW648,$A$681:$F$2272,6,FALSE)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VLOOKUP(AEF648,$A$681:$F$2272,6,FALSE)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VLOOKUP(AEO648,$A$681:$F$2272,6,FALSE)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VLOOKUP(AEX648,$A$681:$F$2272,6,FALSE)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VLOOKUP(AFG648,$A$681:$F$2272,6,FALSE)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VLOOKUP(AFP648,$A$681:$F$2272,6,FALSE)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VLOOKUP(AFY648,$A$681:$F$2272,6,FALSE)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VLOOKUP(AGH648,$A$681:$F$2272,6,FALSE)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VLOOKUP(AGQ648,$A$681:$F$2272,6,FALSE)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VLOOKUP(AGZ648,$A$681:$F$2272,6,FALSE)</f>
        <v>7</v>
      </c>
      <c r="AHD648" s="203" t="s">
        <v>63</v>
      </c>
      <c r="AHE648" s="10">
        <f>AHC648*1.4</f>
        <v>9.7999999999999989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VLOOKUP(AHI648,$A$681:$F$2272,6,FALSE)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2608</v>
      </c>
      <c r="AHT648" s="204"/>
      <c r="AHU648" s="204">
        <f>VLOOKUP(AHR648,$A$681:$F$2272,6,FALSE)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VLOOKUP(AIA648,$A$681:$F$2272,6,FALSE)</f>
        <v>6</v>
      </c>
      <c r="AIE648" s="203" t="s">
        <v>63</v>
      </c>
      <c r="AIF648" s="10">
        <f>AID648*1.4</f>
        <v>8.3999999999999986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VLOOKUP(AIJ648,$A$681:$F$2272,6,FALSE)</f>
        <v>25</v>
      </c>
      <c r="AIN648" s="203" t="s">
        <v>63</v>
      </c>
      <c r="AIO648" s="10">
        <f>AIM648*1.4</f>
        <v>35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VLOOKUP(AIS648,$A$681:$F$2272,6,FALSE)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2694</v>
      </c>
      <c r="AJD648" s="204"/>
      <c r="AJE648" s="204">
        <f>VLOOKUP(AJB648,$A$681:$F$2272,6,FALSE)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VLOOKUP(AJK648,$A$681:$F$2272,6,FALSE)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2320</v>
      </c>
      <c r="AJV648" s="204"/>
      <c r="AJW648" s="204">
        <f>VLOOKUP(AJT648,$A$681:$F$2272,6,FALSE)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VLOOKUP(AKC648,$A$681:$F$2272,6,FALSE)</f>
        <v>58</v>
      </c>
      <c r="AKG648" s="203" t="s">
        <v>63</v>
      </c>
      <c r="AKH648" s="10">
        <f>AKF648*1.4</f>
        <v>81.199999999999989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VLOOKUP(AKL648,$A$681:$F$2272,6,FALSE)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2101</v>
      </c>
      <c r="AKW648" s="204"/>
      <c r="AKX648" s="204">
        <f>VLOOKUP(AKU648,$A$681:$F$2272,6,FALSE)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VLOOKUP(ALD648,$A$681:$F$2272,6,FALSE)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VLOOKUP(ALM648,$A$681:$F$2272,6,FALSE)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VLOOKUP(ALV648,$A$681:$F$2272,6,FALSE)</f>
        <v>58</v>
      </c>
      <c r="ALZ648" s="203" t="s">
        <v>63</v>
      </c>
      <c r="AMA648" s="10">
        <f>ALY648*1.4</f>
        <v>81.199999999999989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VLOOKUP(AME648,$A$681:$F$2272,6,FALSE)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VLOOKUP(AMN648,$A$681:$F$2272,6,FALSE)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VLOOKUP(AMW648,$A$681:$F$2272,6,FALSE)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VLOOKUP(ANF648,$A$681:$F$2272,6,FALSE)</f>
        <v>7</v>
      </c>
      <c r="ANJ648" s="203" t="s">
        <v>63</v>
      </c>
      <c r="ANK648" s="10">
        <f>ANI648*1.4</f>
        <v>9.7999999999999989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VLOOKUP(ANO648,$A$681:$F$2272,6,FALSE)</f>
        <v>15</v>
      </c>
      <c r="ANS648" s="203" t="s">
        <v>63</v>
      </c>
      <c r="ANT648" s="10">
        <f>ANR648*1.4</f>
        <v>21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VLOOKUP(ANX648,$A$681:$F$2272,6,FALSE)</f>
        <v>33</v>
      </c>
      <c r="AOB648" s="203" t="s">
        <v>63</v>
      </c>
      <c r="AOC648" s="10">
        <f>AOA648*1.4</f>
        <v>46.199999999999996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VLOOKUP(AOG648,$A$681:$F$2272,6,FALSE)</f>
        <v>58</v>
      </c>
      <c r="AOK648" s="203" t="s">
        <v>63</v>
      </c>
      <c r="AOL648" s="10">
        <f>AOJ648*1.4</f>
        <v>81.199999999999989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VLOOKUP(AOP648,$A$681:$F$2272,6,FALSE)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VLOOKUP(AOY648,$A$681:$F$2272,6,FALSE)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VLOOKUP(APH648,$A$681:$F$2272,6,FALSE)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VLOOKUP(APQ648,$A$681:$F$2272,6,FALSE)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VLOOKUP(APZ648,$A$681:$F$2272,6,FALSE)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VLOOKUP(B649,$A$681:$F$2272,6,FALSE)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2086</v>
      </c>
      <c r="M649" s="204"/>
      <c r="N649" s="204">
        <f>VLOOKUP(K649,$A$681:$F$2272,6,FALSE)</f>
        <v>71</v>
      </c>
      <c r="O649" s="203" t="s">
        <v>65</v>
      </c>
      <c r="P649" s="10">
        <f>N649*1.3</f>
        <v>92.3</v>
      </c>
      <c r="Q649" s="10"/>
      <c r="R649" s="268"/>
      <c r="S649" s="203" t="s">
        <v>107</v>
      </c>
      <c r="T649" s="277" t="s">
        <v>2348</v>
      </c>
      <c r="V649" s="204"/>
      <c r="W649" s="204">
        <f>VLOOKUP(T649,$A$681:$F$2272,6,FALSE)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VLOOKUP(AC649,$A$681:$F$2272,6,FALSE)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VLOOKUP(AL649,$A$681:$F$2272,6,FALSE)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2348</v>
      </c>
      <c r="AW649" s="204"/>
      <c r="AX649" s="204">
        <f>VLOOKUP(AU649,$A$681:$F$2272,6,FALSE)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VLOOKUP(BD649,$A$681:$F$2272,6,FALSE)</f>
        <v>30</v>
      </c>
      <c r="BH649" s="203" t="s">
        <v>65</v>
      </c>
      <c r="BI649" s="10">
        <f>BG649*1.3</f>
        <v>39</v>
      </c>
      <c r="BJ649" s="10"/>
      <c r="BK649" s="268"/>
      <c r="BL649" s="203" t="s">
        <v>107</v>
      </c>
      <c r="BM649" s="277" t="s">
        <v>2348</v>
      </c>
      <c r="BO649" s="204"/>
      <c r="BP649" s="204">
        <f>VLOOKUP(BM649,$A$681:$F$2272,6,FALSE)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VLOOKUP(BV649,$A$681:$F$2272,6,FALSE)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2069</v>
      </c>
      <c r="CG649" s="204"/>
      <c r="CH649" s="204">
        <f>VLOOKUP(CE649,$A$681:$F$2272,6,FALSE)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VLOOKUP(CN649,$A$681:$F$2272,6,FALSE)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VLOOKUP(CW649,$A$681:$F$2272,6,FALSE)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VLOOKUP(DF649,$A$681:$F$2272,6,FALSE)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2069</v>
      </c>
      <c r="DQ649" s="204"/>
      <c r="DR649" s="204">
        <f>VLOOKUP(DO649,$A$681:$F$2272,6,FALSE)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VLOOKUP(DX649,$A$681:$F$2272,6,FALSE)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VLOOKUP(EG649,$A$681:$F$2272,6,FALSE)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2660</v>
      </c>
      <c r="ER649" s="204"/>
      <c r="ES649" s="204">
        <f>VLOOKUP(EP649,$A$681:$F$2272,6,FALSE)</f>
        <v>74</v>
      </c>
      <c r="ET649" s="203" t="s">
        <v>65</v>
      </c>
      <c r="EU649" s="10">
        <f>ES649*1.3</f>
        <v>96.2</v>
      </c>
      <c r="EV649" s="10"/>
      <c r="EW649" s="268"/>
      <c r="EX649" s="203" t="s">
        <v>107</v>
      </c>
      <c r="EY649" s="277" t="s">
        <v>2348</v>
      </c>
      <c r="FA649" s="204"/>
      <c r="FB649" s="204">
        <f>VLOOKUP(EY649,$A$681:$F$2272,6,FALSE)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VLOOKUP(FH649,$A$681:$F$2272,6,FALSE)</f>
        <v>7</v>
      </c>
      <c r="FL649" s="203" t="s">
        <v>65</v>
      </c>
      <c r="FM649" s="10">
        <f>FK649*1.3</f>
        <v>9.1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VLOOKUP(FQ649,$A$681:$F$2272,6,FALSE)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2087</v>
      </c>
      <c r="GB649" s="204"/>
      <c r="GC649" s="204">
        <f>VLOOKUP(FZ649,$A$681:$F$2272,6,FALSE)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VLOOKUP(GI649,$A$681:$F$2272,6,FALSE)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2789</v>
      </c>
      <c r="GT649" s="204"/>
      <c r="GU649" s="204">
        <f>VLOOKUP(GR649,$A$681:$F$2272,6,FALSE)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VLOOKUP(HA649,$A$681:$F$2272,6,FALSE)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VLOOKUP(HJ649,$A$681:$F$2272,6,FALSE)</f>
        <v>150</v>
      </c>
      <c r="HN649" s="203" t="s">
        <v>65</v>
      </c>
      <c r="HO649" s="10">
        <f>HM649*1.3</f>
        <v>195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VLOOKUP(HS649,$A$681:$F$2272,6,FALSE)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VLOOKUP(IB649,$A$681:$F$2272,6,FALSE)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VLOOKUP(IK649,$A$681:$F$2272,6,FALSE)</f>
        <v>6</v>
      </c>
      <c r="IO649" s="203" t="s">
        <v>65</v>
      </c>
      <c r="IP649" s="10">
        <f>IN649*1.3</f>
        <v>7.8000000000000007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VLOOKUP(IT649,$A$681:$F$2272,6,FALSE)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2558</v>
      </c>
      <c r="JE649" s="204"/>
      <c r="JF649" s="204">
        <f>VLOOKUP(JC649,$A$681:$F$2272,6,FALSE)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VLOOKUP(JL649,$A$681:$F$2272,6,FALSE)</f>
        <v>11</v>
      </c>
      <c r="JP649" s="203" t="s">
        <v>65</v>
      </c>
      <c r="JQ649" s="10">
        <f>JO649*1.3</f>
        <v>14.3</v>
      </c>
      <c r="JR649" s="10"/>
      <c r="JS649" s="268"/>
      <c r="JT649" s="203" t="s">
        <v>107</v>
      </c>
      <c r="JU649" s="277" t="s">
        <v>2608</v>
      </c>
      <c r="JW649" s="204"/>
      <c r="JX649" s="204">
        <f>VLOOKUP(JU649,$A$681:$F$2272,6,FALSE)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VLOOKUP(KD649,$A$681:$F$2272,6,FALSE)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VLOOKUP(KM649,$A$681:$F$2272,6,FALSE)</f>
        <v>150</v>
      </c>
      <c r="KQ649" s="203" t="s">
        <v>65</v>
      </c>
      <c r="KR649" s="10">
        <f>KP649*1.3</f>
        <v>195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VLOOKUP(KV649,$A$681:$F$2272,6,FALSE)</f>
        <v>7</v>
      </c>
      <c r="KZ649" s="203" t="s">
        <v>65</v>
      </c>
      <c r="LA649" s="10">
        <f>KY649*1.3</f>
        <v>9.1</v>
      </c>
      <c r="LB649" s="10"/>
      <c r="LC649" s="268"/>
      <c r="LD649" s="203" t="s">
        <v>107</v>
      </c>
      <c r="LE649" s="277" t="s">
        <v>2594</v>
      </c>
      <c r="LG649" s="204"/>
      <c r="LH649" s="204">
        <f>VLOOKUP(LE649,$A$681:$F$2272,6,FALSE)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VLOOKUP(LN649,$A$681:$F$2272,6,FALSE)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2073</v>
      </c>
      <c r="LY649" s="204"/>
      <c r="LZ649" s="204">
        <f>VLOOKUP(LW649,$A$681:$F$2272,6,FALSE)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2087</v>
      </c>
      <c r="MH649" s="204"/>
      <c r="MI649" s="204">
        <f>VLOOKUP(MF649,$A$681:$F$2272,6,FALSE)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VLOOKUP(MO649,$A$681:$F$2272,6,FALSE)</f>
        <v>150</v>
      </c>
      <c r="MS649" s="203" t="s">
        <v>65</v>
      </c>
      <c r="MT649" s="10">
        <f>MR649*1.3</f>
        <v>195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VLOOKUP(MX649,$A$681:$F$2272,6,FALSE)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2594</v>
      </c>
      <c r="NI649" s="204"/>
      <c r="NJ649" s="204">
        <f>VLOOKUP(NG649,$A$681:$F$2272,6,FALSE)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VLOOKUP(NP649,$A$681:$F$2272,6,FALSE)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2101</v>
      </c>
      <c r="OA649" s="204"/>
      <c r="OB649" s="204">
        <f>VLOOKUP(NY649,$A$681:$F$2272,6,FALSE)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VLOOKUP(OH649,$A$681:$F$2272,6,FALSE)</f>
        <v>11</v>
      </c>
      <c r="OL649" s="203" t="s">
        <v>65</v>
      </c>
      <c r="OM649" s="10">
        <f>OK649*1.3</f>
        <v>14.3</v>
      </c>
      <c r="ON649" s="10"/>
      <c r="OO649" s="268"/>
      <c r="OP649" s="203" t="s">
        <v>107</v>
      </c>
      <c r="OQ649" s="425" t="s">
        <v>2320</v>
      </c>
      <c r="OS649" s="204"/>
      <c r="OT649" s="204">
        <f>VLOOKUP(OQ649,$A$681:$F$2272,6,FALSE)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29" t="s">
        <v>2073</v>
      </c>
      <c r="PB649" s="204"/>
      <c r="PC649" s="204">
        <f>VLOOKUP(OZ649,$A$681:$F$2272,6,FALSE)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2797</v>
      </c>
      <c r="PK649" s="204"/>
      <c r="PL649" s="204">
        <f>VLOOKUP(PI649,$A$681:$F$2272,6,FALSE)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VLOOKUP(PR649,$A$681:$F$2272,6,FALSE)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VLOOKUP(QA649,$A$681:$F$2272,6,FALSE)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2608</v>
      </c>
      <c r="QL649" s="204"/>
      <c r="QM649" s="204">
        <f>VLOOKUP(QJ649,$A$681:$F$2272,6,FALSE)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VLOOKUP(QS649,$A$681:$F$2272,6,FALSE)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VLOOKUP(RB649,$A$681:$F$2272,6,FALSE)</f>
        <v>58</v>
      </c>
      <c r="RF649" s="203" t="s">
        <v>65</v>
      </c>
      <c r="RG649" s="10">
        <f>RE649*1.3</f>
        <v>75.400000000000006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VLOOKUP(RK649,$A$681:$F$2272,6,FALSE)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VLOOKUP(RT649,$A$681:$F$2272,6,FALSE)</f>
        <v>7</v>
      </c>
      <c r="RX649" s="203" t="s">
        <v>65</v>
      </c>
      <c r="RY649" s="10">
        <f>RW649*1.3</f>
        <v>9.1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VLOOKUP(SC649,$A$681:$F$2272,6,FALSE)</f>
        <v>7</v>
      </c>
      <c r="SG649" s="203" t="s">
        <v>65</v>
      </c>
      <c r="SH649" s="10">
        <f>SF649*1.3</f>
        <v>9.1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VLOOKUP(SL649,$A$681:$F$2272,6,FALSE)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VLOOKUP(SU649,$A$681:$F$2272,6,FALSE)</f>
        <v>25</v>
      </c>
      <c r="SY649" s="203" t="s">
        <v>65</v>
      </c>
      <c r="SZ649" s="10">
        <f>SX649*1.3</f>
        <v>32.5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VLOOKUP(TD649,$A$681:$F$2272,6,FALSE)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VLOOKUP(TM649,$A$681:$F$2272,6,FALSE)</f>
        <v>33</v>
      </c>
      <c r="TQ649" s="203" t="s">
        <v>65</v>
      </c>
      <c r="TR649" s="10">
        <f>TP649*1.3</f>
        <v>42.9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VLOOKUP(TV649,$A$681:$F$2272,6,FALSE)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VLOOKUP(UE649,$A$681:$F$2272,6,FALSE)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2797</v>
      </c>
      <c r="UP649" s="204"/>
      <c r="UQ649" s="204">
        <f>VLOOKUP(UN649,$A$681:$F$2272,6,FALSE)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2135</v>
      </c>
      <c r="UY649" s="204"/>
      <c r="UZ649" s="204">
        <f>VLOOKUP(UW649,$A$681:$F$2272,6,FALSE)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VLOOKUP(VF649,$A$681:$F$2272,6,FALSE)</f>
        <v>7</v>
      </c>
      <c r="VJ649" s="203" t="s">
        <v>65</v>
      </c>
      <c r="VK649" s="10">
        <f>VI649*1.3</f>
        <v>9.1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VLOOKUP(VO649,$A$681:$F$2272,6,FALSE)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VLOOKUP(VX649,$A$681:$F$2272,6,FALSE)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2069</v>
      </c>
      <c r="WI649" s="204"/>
      <c r="WJ649" s="204">
        <f>VLOOKUP(WG649,$A$681:$F$2272,6,FALSE)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VLOOKUP(WP649,$A$681:$F$2272,6,FALSE)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VLOOKUP(WY649,$A$681:$F$2272,6,FALSE)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VLOOKUP(XH649,$A$681:$F$2272,6,FALSE)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963</v>
      </c>
      <c r="XS649" s="204"/>
      <c r="XT649" s="204">
        <f>VLOOKUP(XQ649,$A$681:$F$2272,6,FALSE)</f>
        <v>11</v>
      </c>
      <c r="XU649" s="203" t="s">
        <v>65</v>
      </c>
      <c r="XV649" s="10">
        <f>XT649*1.3</f>
        <v>14.3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VLOOKUP(XZ649,$A$681:$F$2272,6,FALSE)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VLOOKUP(YI649,$A$681:$F$2272,6,FALSE)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VLOOKUP(YR649,$A$681:$F$2272,6,FALSE)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VLOOKUP(ZA649,$A$681:$F$2272,6,FALSE)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434</v>
      </c>
      <c r="ZL649" s="204"/>
      <c r="ZM649" s="204">
        <f>VLOOKUP(ZJ649,$A$681:$F$2272,6,FALSE)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VLOOKUP(ZS649,$A$681:$F$2272,6,FALSE)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VLOOKUP(AAB649,$A$681:$F$2272,6,FALSE)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2078</v>
      </c>
      <c r="AAM649" s="204"/>
      <c r="AAN649" s="204">
        <f>VLOOKUP(AAK649,$A$681:$F$2272,6,FALSE)</f>
        <v>33</v>
      </c>
      <c r="AAO649" s="203" t="s">
        <v>65</v>
      </c>
      <c r="AAP649" s="10">
        <f>AAN649*1.3</f>
        <v>42.9</v>
      </c>
      <c r="AAQ649" s="10"/>
      <c r="AAR649" s="274"/>
      <c r="AAS649" s="203" t="s">
        <v>107</v>
      </c>
      <c r="AAT649" s="277" t="s">
        <v>2087</v>
      </c>
      <c r="AAV649" s="204"/>
      <c r="AAW649" s="204">
        <f>VLOOKUP(AAT649,$A$681:$F$2272,6,FALSE)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VLOOKUP(ABC649,$A$681:$F$2272,6,FALSE)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VLOOKUP(ABL649,$A$681:$F$2272,6,FALSE)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2797</v>
      </c>
      <c r="ABW649" s="204"/>
      <c r="ABX649" s="204">
        <f>VLOOKUP(ABU649,$A$681:$F$2272,6,FALSE)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VLOOKUP(ACD649,$A$681:$F$2272,6,FALSE)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VLOOKUP(ACM649,$A$681:$F$2272,6,FALSE)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VLOOKUP(ACV649,$A$681:$F$2272,6,FALSE)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VLOOKUP(ADE649,$A$681:$F$2272,6,FALSE)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VLOOKUP(ADN649,$A$681:$F$2272,6,FALSE)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VLOOKUP(ADW649,$A$681:$F$2272,6,FALSE)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VLOOKUP(AEF649,$A$681:$F$2272,6,FALSE)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VLOOKUP(AEO649,$A$681:$F$2272,6,FALSE)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VLOOKUP(AEX649,$A$681:$F$2272,6,FALSE)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VLOOKUP(AFG649,$A$681:$F$2272,6,FALSE)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VLOOKUP(AFP649,$A$681:$F$2272,6,FALSE)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VLOOKUP(AFY649,$A$681:$F$2272,6,FALSE)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VLOOKUP(AGH649,$A$681:$F$2272,6,FALSE)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VLOOKUP(AGQ649,$A$681:$F$2272,6,FALSE)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VLOOKUP(AGZ649,$A$681:$F$2272,6,FALSE)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VLOOKUP(AHI649,$A$681:$F$2272,6,FALSE)</f>
        <v>11</v>
      </c>
      <c r="AHM649" s="203" t="s">
        <v>65</v>
      </c>
      <c r="AHN649" s="10">
        <f>AHL649*1.3</f>
        <v>14.3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VLOOKUP(AHR649,$A$681:$F$2272,6,FALSE)</f>
        <v>25</v>
      </c>
      <c r="AHV649" s="203" t="s">
        <v>65</v>
      </c>
      <c r="AHW649" s="10">
        <f>AHU649*1.3</f>
        <v>32.5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VLOOKUP(AIA649,$A$681:$F$2272,6,FALSE)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VLOOKUP(AIJ649,$A$681:$F$2272,6,FALSE)</f>
        <v>150</v>
      </c>
      <c r="AIN649" s="203" t="s">
        <v>65</v>
      </c>
      <c r="AIO649" s="10">
        <f>AIM649*1.3</f>
        <v>195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VLOOKUP(AIS649,$A$681:$F$2272,6,FALSE)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VLOOKUP(AJB649,$A$681:$F$2272,6,FALSE)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VLOOKUP(AJK649,$A$681:$F$2272,6,FALSE)</f>
        <v>58</v>
      </c>
      <c r="AJO649" s="203" t="s">
        <v>65</v>
      </c>
      <c r="AJP649" s="10">
        <f>AJN649*1.3</f>
        <v>75.400000000000006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VLOOKUP(AJT649,$A$681:$F$2272,6,FALSE)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VLOOKUP(AKC649,$A$681:$F$2272,6,FALSE)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2789</v>
      </c>
      <c r="AKN649" s="204"/>
      <c r="AKO649" s="204">
        <f>VLOOKUP(AKL649,$A$681:$F$2272,6,FALSE)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VLOOKUP(AKU649,$A$681:$F$2272,6,FALSE)</f>
        <v>7</v>
      </c>
      <c r="AKY649" s="203" t="s">
        <v>65</v>
      </c>
      <c r="AKZ649" s="10">
        <f>AKX649*1.3</f>
        <v>9.1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VLOOKUP(ALD649,$A$681:$F$2272,6,FALSE)</f>
        <v>58</v>
      </c>
      <c r="ALH649" s="203" t="s">
        <v>65</v>
      </c>
      <c r="ALI649" s="10">
        <f>ALG649*1.3</f>
        <v>75.400000000000006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VLOOKUP(ALM649,$A$681:$F$2272,6,FALSE)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VLOOKUP(ALV649,$A$681:$F$2272,6,FALSE)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VLOOKUP(AME649,$A$681:$F$2272,6,FALSE)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VLOOKUP(AMN649,$A$681:$F$2272,6,FALSE)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VLOOKUP(AMW649,$A$681:$F$2272,6,FALSE)</f>
        <v>150</v>
      </c>
      <c r="ANA649" s="203" t="s">
        <v>65</v>
      </c>
      <c r="ANB649" s="10">
        <f>AMZ649*1.3</f>
        <v>195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VLOOKUP(ANF649,$A$681:$F$2272,6,FALSE)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VLOOKUP(ANO649,$A$681:$F$2272,6,FALSE)</f>
        <v>6</v>
      </c>
      <c r="ANS649" s="203" t="s">
        <v>65</v>
      </c>
      <c r="ANT649" s="10">
        <f>ANR649*1.3</f>
        <v>7.8000000000000007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VLOOKUP(ANX649,$A$681:$F$2272,6,FALSE)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VLOOKUP(AOG649,$A$681:$F$2272,6,FALSE)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VLOOKUP(AOP649,$A$681:$F$2272,6,FALSE)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VLOOKUP(AOY649,$A$681:$F$2272,6,FALSE)</f>
        <v>150</v>
      </c>
      <c r="APC649" s="203" t="s">
        <v>65</v>
      </c>
      <c r="APD649" s="10">
        <f>APB649*1.3</f>
        <v>195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VLOOKUP(APH649,$A$681:$F$2272,6,FALSE)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VLOOKUP(APQ649,$A$681:$F$2272,6,FALSE)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VLOOKUP(APZ649,$A$681:$F$2272,6,FALSE)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VLOOKUP(B650,$A$681:$F$2272,6,FALSE)</f>
        <v>7</v>
      </c>
      <c r="F650" s="203" t="s">
        <v>67</v>
      </c>
      <c r="G650" s="10">
        <f>E650*1.2</f>
        <v>8.4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VLOOKUP(K650,$A$681:$F$2272,6,FALSE)</f>
        <v>30</v>
      </c>
      <c r="O650" s="203" t="s">
        <v>67</v>
      </c>
      <c r="P650" s="10">
        <f>N650*1.2</f>
        <v>36</v>
      </c>
      <c r="Q650" s="10"/>
      <c r="R650" s="268"/>
      <c r="S650" s="203" t="s">
        <v>108</v>
      </c>
      <c r="T650" s="277" t="s">
        <v>2608</v>
      </c>
      <c r="V650" s="204"/>
      <c r="W650" s="204">
        <f>VLOOKUP(T650,$A$681:$F$2272,6,FALSE)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VLOOKUP(AC650,$A$681:$F$2272,6,FALSE)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2660</v>
      </c>
      <c r="AN650" s="204"/>
      <c r="AO650" s="204">
        <f>VLOOKUP(AL650,$A$681:$F$2272,6,FALSE)</f>
        <v>74</v>
      </c>
      <c r="AP650" s="203" t="s">
        <v>67</v>
      </c>
      <c r="AQ650" s="10">
        <f>AO650*1.2</f>
        <v>88.8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VLOOKUP(AU650,$A$681:$F$2272,6,FALSE)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VLOOKUP(BD650,$A$681:$F$2272,6,FALSE)</f>
        <v>11</v>
      </c>
      <c r="BH650" s="203" t="s">
        <v>67</v>
      </c>
      <c r="BI650" s="10">
        <f>BG650*1.2</f>
        <v>13.2</v>
      </c>
      <c r="BJ650" s="10"/>
      <c r="BK650" s="268"/>
      <c r="BL650" s="203" t="s">
        <v>108</v>
      </c>
      <c r="BM650" s="277" t="s">
        <v>2797</v>
      </c>
      <c r="BO650" s="204"/>
      <c r="BP650" s="204">
        <f>VLOOKUP(BM650,$A$681:$F$2272,6,FALSE)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2608</v>
      </c>
      <c r="BX650" s="204"/>
      <c r="BY650" s="204">
        <f>VLOOKUP(BV650,$A$681:$F$2272,6,FALSE)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2087</v>
      </c>
      <c r="CG650" s="204"/>
      <c r="CH650" s="204">
        <f>VLOOKUP(CE650,$A$681:$F$2272,6,FALSE)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VLOOKUP(CN650,$A$681:$F$2272,6,FALSE)</f>
        <v>7</v>
      </c>
      <c r="CR650" s="203" t="s">
        <v>67</v>
      </c>
      <c r="CS650" s="10">
        <f>CQ650*1.2</f>
        <v>8.4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VLOOKUP(CW650,$A$681:$F$2272,6,FALSE)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VLOOKUP(DF650,$A$681:$F$2272,6,FALSE)</f>
        <v>11</v>
      </c>
      <c r="DJ650" s="203" t="s">
        <v>67</v>
      </c>
      <c r="DK650" s="10">
        <f>DI650*1.2</f>
        <v>13.2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VLOOKUP(DO650,$A$681:$F$2272,6,FALSE)</f>
        <v>58</v>
      </c>
      <c r="DS650" s="203" t="s">
        <v>67</v>
      </c>
      <c r="DT650" s="10">
        <f>DR650*1.2</f>
        <v>69.599999999999994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VLOOKUP(DX650,$A$681:$F$2272,6,FALSE)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VLOOKUP(EG650,$A$681:$F$2272,6,FALSE)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VLOOKUP(EP650,$A$681:$F$2272,6,FALSE)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2608</v>
      </c>
      <c r="FA650" s="204"/>
      <c r="FB650" s="204">
        <f>VLOOKUP(EY650,$A$681:$F$2272,6,FALSE)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VLOOKUP(FH650,$A$681:$F$2272,6,FALSE)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VLOOKUP(FQ650,$A$681:$F$2272,6,FALSE)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2789</v>
      </c>
      <c r="GB650" s="204"/>
      <c r="GC650" s="204">
        <f>VLOOKUP(FZ650,$A$681:$F$2272,6,FALSE)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VLOOKUP(GI650,$A$681:$F$2272,6,FALSE)</f>
        <v>31</v>
      </c>
      <c r="GM650" s="203" t="s">
        <v>67</v>
      </c>
      <c r="GN650" s="10">
        <f>GL650*1.2</f>
        <v>37.199999999999996</v>
      </c>
      <c r="GO650" s="10"/>
      <c r="GP650" s="268"/>
      <c r="GQ650" s="203" t="s">
        <v>108</v>
      </c>
      <c r="GR650" s="277" t="s">
        <v>2073</v>
      </c>
      <c r="GT650" s="204"/>
      <c r="GU650" s="204">
        <f>VLOOKUP(GR650,$A$681:$F$2272,6,FALSE)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VLOOKUP(HA650,$A$681:$F$2272,6,FALSE)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VLOOKUP(HJ650,$A$681:$F$2272,6,FALSE)</f>
        <v>58</v>
      </c>
      <c r="HN650" s="203" t="s">
        <v>67</v>
      </c>
      <c r="HO650" s="10">
        <f>HM650*1.2</f>
        <v>69.599999999999994</v>
      </c>
      <c r="HP650" s="10"/>
      <c r="HQ650" s="268"/>
      <c r="HR650" s="203" t="s">
        <v>108</v>
      </c>
      <c r="HS650" s="277" t="s">
        <v>2086</v>
      </c>
      <c r="HU650" s="204"/>
      <c r="HV650" s="204">
        <f>VLOOKUP(HS650,$A$681:$F$2272,6,FALSE)</f>
        <v>71</v>
      </c>
      <c r="HW650" s="203" t="s">
        <v>67</v>
      </c>
      <c r="HX650" s="10">
        <f>HV650*1.2</f>
        <v>85.2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VLOOKUP(IB650,$A$681:$F$2272,6,FALSE)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VLOOKUP(IK650,$A$681:$F$2272,6,FALSE)</f>
        <v>7</v>
      </c>
      <c r="IO650" s="203" t="s">
        <v>67</v>
      </c>
      <c r="IP650" s="10">
        <f>IN650*1.2</f>
        <v>8.4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VLOOKUP(IT650,$A$681:$F$2272,6,FALSE)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VLOOKUP(JC650,$A$681:$F$2272,6,FALSE)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2558</v>
      </c>
      <c r="JN650" s="204"/>
      <c r="JO650" s="204">
        <f>VLOOKUP(JL650,$A$681:$F$2272,6,FALSE)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2086</v>
      </c>
      <c r="JW650" s="204"/>
      <c r="JX650" s="204">
        <f>VLOOKUP(JU650,$A$681:$F$2272,6,FALSE)</f>
        <v>71</v>
      </c>
      <c r="JY650" s="203" t="s">
        <v>67</v>
      </c>
      <c r="JZ650" s="10">
        <f>JX650*1.2</f>
        <v>85.2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VLOOKUP(KD650,$A$681:$F$2272,6,FALSE)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VLOOKUP(KM650,$A$681:$F$2272,6,FALSE)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VLOOKUP(KV650,$A$681:$F$2272,6,FALSE)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VLOOKUP(LE650,$A$681:$F$2272,6,FALSE)</f>
        <v>3</v>
      </c>
      <c r="LI650" s="203" t="s">
        <v>67</v>
      </c>
      <c r="LJ650" s="10">
        <f>LH650*1.2</f>
        <v>3.5999999999999996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VLOOKUP(LN650,$A$681:$F$2272,6,FALSE)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2789</v>
      </c>
      <c r="LY650" s="204"/>
      <c r="LZ650" s="204">
        <f>VLOOKUP(LW650,$A$681:$F$2272,6,FALSE)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VLOOKUP(MF650,$A$681:$F$2272,6,FALSE)</f>
        <v>58</v>
      </c>
      <c r="MJ650" s="203" t="s">
        <v>67</v>
      </c>
      <c r="MK650" s="10">
        <f>MI650*1.2</f>
        <v>69.599999999999994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VLOOKUP(MO650,$A$681:$F$2272,6,FALSE)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VLOOKUP(MX650,$A$681:$F$2272,6,FALSE)</f>
        <v>25</v>
      </c>
      <c r="NB650" s="203" t="s">
        <v>67</v>
      </c>
      <c r="NC650" s="10">
        <f>NA650*1.2</f>
        <v>30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VLOOKUP(NG650,$A$681:$F$2272,6,FALSE)</f>
        <v>11</v>
      </c>
      <c r="NK650" s="203" t="s">
        <v>67</v>
      </c>
      <c r="NL650" s="10">
        <f>NJ650*1.2</f>
        <v>13.2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VLOOKUP(NP650,$A$681:$F$2272,6,FALSE)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VLOOKUP(NY650,$A$681:$F$2272,6,FALSE)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VLOOKUP(OH650,$A$681:$F$2272,6,FALSE)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VLOOKUP(OQ650,$A$681:$F$2272,6,FALSE)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VLOOKUP(OZ650,$A$681:$F$2272,6,FALSE)</f>
        <v>7</v>
      </c>
      <c r="PD650" s="203" t="s">
        <v>67</v>
      </c>
      <c r="PE650" s="10">
        <f>PC650*1.2</f>
        <v>8.4</v>
      </c>
      <c r="PF650" s="10"/>
      <c r="PG650" s="268"/>
      <c r="PH650" s="203" t="s">
        <v>108</v>
      </c>
      <c r="PI650" s="277" t="s">
        <v>2087</v>
      </c>
      <c r="PK650" s="204"/>
      <c r="PL650" s="204">
        <f>VLOOKUP(PI650,$A$681:$F$2272,6,FALSE)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VLOOKUP(PR650,$A$681:$F$2272,6,FALSE)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VLOOKUP(QA650,$A$681:$F$2272,6,FALSE)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VLOOKUP(QJ650,$A$681:$F$2272,6,FALSE)</f>
        <v>58</v>
      </c>
      <c r="QN650" s="203" t="s">
        <v>67</v>
      </c>
      <c r="QO650" s="10">
        <f>QM650*1.2</f>
        <v>69.599999999999994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VLOOKUP(QS650,$A$681:$F$2272,6,FALSE)</f>
        <v>58</v>
      </c>
      <c r="QW650" s="203" t="s">
        <v>67</v>
      </c>
      <c r="QX650" s="10">
        <f>QV650*1.2</f>
        <v>69.599999999999994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VLOOKUP(RB650,$A$681:$F$2272,6,FALSE)</f>
        <v>7</v>
      </c>
      <c r="RF650" s="203" t="s">
        <v>67</v>
      </c>
      <c r="RG650" s="10">
        <f>RE650*1.2</f>
        <v>8.4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VLOOKUP(RK650,$A$681:$F$2272,6,FALSE)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VLOOKUP(RT650,$A$681:$F$2272,6,FALSE)</f>
        <v>150</v>
      </c>
      <c r="RX650" s="203" t="s">
        <v>67</v>
      </c>
      <c r="RY650" s="10">
        <f>RW650*1.2</f>
        <v>180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VLOOKUP(SC650,$A$681:$F$2272,6,FALSE)</f>
        <v>150</v>
      </c>
      <c r="SG650" s="203" t="s">
        <v>67</v>
      </c>
      <c r="SH650" s="10">
        <f>SF650*1.2</f>
        <v>180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VLOOKUP(SL650,$A$681:$F$2272,6,FALSE)</f>
        <v>30</v>
      </c>
      <c r="SP650" s="203" t="s">
        <v>67</v>
      </c>
      <c r="SQ650" s="10">
        <f>SO650*1.2</f>
        <v>36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VLOOKUP(SU650,$A$681:$F$2272,6,FALSE)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VLOOKUP(TD650,$A$681:$F$2272,6,FALSE)</f>
        <v>33</v>
      </c>
      <c r="TH650" s="203" t="s">
        <v>67</v>
      </c>
      <c r="TI650" s="10">
        <f>TG650*1.2</f>
        <v>39.6</v>
      </c>
      <c r="TK650" s="274"/>
      <c r="TL650" s="203" t="s">
        <v>108</v>
      </c>
      <c r="TM650" s="277" t="s">
        <v>1294</v>
      </c>
      <c r="TO650" s="204"/>
      <c r="TP650" s="204">
        <f>VLOOKUP(TM650,$A$681:$F$2272,6,FALSE)</f>
        <v>7</v>
      </c>
      <c r="TQ650" s="203" t="s">
        <v>67</v>
      </c>
      <c r="TR650" s="10">
        <f>TP650*1.2</f>
        <v>8.4</v>
      </c>
      <c r="TS650" s="10"/>
      <c r="TT650" s="274"/>
      <c r="TU650" s="203" t="s">
        <v>108</v>
      </c>
      <c r="TV650" s="277" t="s">
        <v>2086</v>
      </c>
      <c r="TX650" s="204"/>
      <c r="TY650" s="204">
        <f>VLOOKUP(TV650,$A$681:$F$2272,6,FALSE)</f>
        <v>71</v>
      </c>
      <c r="TZ650" s="203" t="s">
        <v>67</v>
      </c>
      <c r="UA650" s="10">
        <f>TY650*1.2</f>
        <v>85.2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VLOOKUP(UE650,$A$681:$F$2272,6,FALSE)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2087</v>
      </c>
      <c r="UP650" s="204"/>
      <c r="UQ650" s="204">
        <f>VLOOKUP(UN650,$A$681:$F$2272,6,FALSE)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VLOOKUP(UW650,$A$681:$F$2272,6,FALSE)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VLOOKUP(VF650,$A$681:$F$2272,6,FALSE)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2069</v>
      </c>
      <c r="VQ650" s="204"/>
      <c r="VR650" s="204">
        <f>VLOOKUP(VO650,$A$681:$F$2272,6,FALSE)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VLOOKUP(VX650,$A$681:$F$2272,6,FALSE)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2660</v>
      </c>
      <c r="WI650" s="204"/>
      <c r="WJ650" s="204">
        <f>VLOOKUP(WG650,$A$681:$F$2272,6,FALSE)</f>
        <v>74</v>
      </c>
      <c r="WK650" s="203" t="s">
        <v>67</v>
      </c>
      <c r="WL650" s="10">
        <f>WJ650*1.2</f>
        <v>88.8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VLOOKUP(WP650,$A$681:$F$2272,6,FALSE)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VLOOKUP(WY650,$A$681:$F$2272,6,FALSE)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VLOOKUP(XH650,$A$681:$F$2272,6,FALSE)</f>
        <v>7</v>
      </c>
      <c r="XL650" s="203" t="s">
        <v>67</v>
      </c>
      <c r="XM650" s="10">
        <f>XK650*1.2</f>
        <v>8.4</v>
      </c>
      <c r="XO650" s="274"/>
      <c r="XP650" s="203" t="s">
        <v>108</v>
      </c>
      <c r="XQ650" s="277" t="s">
        <v>2558</v>
      </c>
      <c r="XS650" s="204"/>
      <c r="XT650" s="204">
        <f>VLOOKUP(XQ650,$A$681:$F$2272,6,FALSE)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2087</v>
      </c>
      <c r="YB650" s="204"/>
      <c r="YC650" s="204">
        <f>VLOOKUP(XZ650,$A$681:$F$2272,6,FALSE)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VLOOKUP(YI650,$A$681:$F$2272,6,FALSE)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VLOOKUP(YR650,$A$681:$F$2272,6,FALSE)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2069</v>
      </c>
      <c r="ZC650" s="204"/>
      <c r="ZD650" s="204">
        <f>VLOOKUP(ZA650,$A$681:$F$2272,6,FALSE)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VLOOKUP(ZJ650,$A$681:$F$2272,6,FALSE)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VLOOKUP(ZS650,$A$681:$F$2272,6,FALSE)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VLOOKUP(AAB650,$A$681:$F$2272,6,FALSE)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VLOOKUP(AAK650,$A$681:$F$2272,6,FALSE)</f>
        <v>30</v>
      </c>
      <c r="AAO650" s="203" t="s">
        <v>67</v>
      </c>
      <c r="AAP650" s="10">
        <f>AAN650*1.2</f>
        <v>36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VLOOKUP(AAT650,$A$681:$F$2272,6,FALSE)</f>
        <v>3</v>
      </c>
      <c r="AAX650" s="203" t="s">
        <v>67</v>
      </c>
      <c r="AAY650" s="10">
        <f>AAW650*1.2</f>
        <v>3.5999999999999996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VLOOKUP(ABC650,$A$681:$F$2272,6,FALSE)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VLOOKUP(ABL650,$A$681:$F$2272,6,FALSE)</f>
        <v>3</v>
      </c>
      <c r="ABP650" s="203" t="s">
        <v>67</v>
      </c>
      <c r="ABQ650" s="10">
        <f>ABO650*1.2</f>
        <v>3.5999999999999996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VLOOKUP(ABU650,$A$681:$F$2272,6,FALSE)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VLOOKUP(ACD650,$A$681:$F$2272,6,FALSE)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VLOOKUP(ACM650,$A$681:$F$2272,6,FALSE)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VLOOKUP(ACV650,$A$681:$F$2272,6,FALSE)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VLOOKUP(ADE650,$A$681:$F$2272,6,FALSE)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VLOOKUP(ADN650,$A$681:$F$2272,6,FALSE)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VLOOKUP(ADW650,$A$681:$F$2272,6,FALSE)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VLOOKUP(AEF650,$A$681:$F$2272,6,FALSE)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VLOOKUP(AEO650,$A$681:$F$2272,6,FALSE)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VLOOKUP(AEX650,$A$681:$F$2272,6,FALSE)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VLOOKUP(AFG650,$A$681:$F$2272,6,FALSE)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VLOOKUP(AFP650,$A$681:$F$2272,6,FALSE)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VLOOKUP(AFY650,$A$681:$F$2272,6,FALSE)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VLOOKUP(AGH650,$A$681:$F$2272,6,FALSE)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VLOOKUP(AGQ650,$A$681:$F$2272,6,FALSE)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VLOOKUP(AGZ650,$A$681:$F$2272,6,FALSE)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VLOOKUP(AHI650,$A$681:$F$2272,6,FALSE)</f>
        <v>7</v>
      </c>
      <c r="AHM650" s="203" t="s">
        <v>67</v>
      </c>
      <c r="AHN650" s="10">
        <f>AHL650*1.2</f>
        <v>8.4</v>
      </c>
      <c r="AHO650" s="10"/>
      <c r="AHP650" s="274"/>
      <c r="AHQ650" s="203" t="s">
        <v>108</v>
      </c>
      <c r="AHR650" s="277" t="s">
        <v>2069</v>
      </c>
      <c r="AHT650" s="204"/>
      <c r="AHU650" s="204">
        <f>VLOOKUP(AHR650,$A$681:$F$2272,6,FALSE)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VLOOKUP(AIA650,$A$681:$F$2272,6,FALSE)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VLOOKUP(AIJ650,$A$681:$F$2272,6,FALSE)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VLOOKUP(AIS650,$A$681:$F$2272,6,FALSE)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VLOOKUP(AJB650,$A$681:$F$2272,6,FALSE)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VLOOKUP(AJK650,$A$681:$F$2272,6,FALSE)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VLOOKUP(AJT650,$A$681:$F$2272,6,FALSE)</f>
        <v>58</v>
      </c>
      <c r="AJX650" s="203" t="s">
        <v>67</v>
      </c>
      <c r="AJY650" s="10">
        <f>AJW650*1.2</f>
        <v>69.599999999999994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VLOOKUP(AKC650,$A$681:$F$2272,6,FALSE)</f>
        <v>7</v>
      </c>
      <c r="AKG650" s="203" t="s">
        <v>67</v>
      </c>
      <c r="AKH650" s="10">
        <f>AKF650*1.2</f>
        <v>8.4</v>
      </c>
      <c r="AKI650" s="10"/>
      <c r="AKJ650" s="274"/>
      <c r="AKK650" s="203" t="s">
        <v>108</v>
      </c>
      <c r="AKL650" s="277" t="s">
        <v>2348</v>
      </c>
      <c r="AKN650" s="204"/>
      <c r="AKO650" s="204">
        <f>VLOOKUP(AKL650,$A$681:$F$2272,6,FALSE)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VLOOKUP(AKU650,$A$681:$F$2272,6,FALSE)</f>
        <v>3</v>
      </c>
      <c r="AKY650" s="203" t="s">
        <v>67</v>
      </c>
      <c r="AKZ650" s="10">
        <f>AKX650*1.2</f>
        <v>3.5999999999999996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VLOOKUP(ALD650,$A$681:$F$2272,6,FALSE)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VLOOKUP(ALM650,$A$681:$F$2272,6,FALSE)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VLOOKUP(ALV650,$A$681:$F$2272,6,FALSE)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VLOOKUP(AME650,$A$681:$F$2272,6,FALSE)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VLOOKUP(AMN650,$A$681:$F$2272,6,FALSE)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VLOOKUP(AMW650,$A$681:$F$2272,6,FALSE)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VLOOKUP(ANF650,$A$681:$F$2272,6,FALSE)</f>
        <v>7</v>
      </c>
      <c r="ANJ650" s="203" t="s">
        <v>67</v>
      </c>
      <c r="ANK650" s="10">
        <f>ANI650*1.2</f>
        <v>8.4</v>
      </c>
      <c r="ANL650" s="10"/>
      <c r="ANM650" s="274"/>
      <c r="ANN650" s="203" t="s">
        <v>108</v>
      </c>
      <c r="ANO650" s="277" t="s">
        <v>2069</v>
      </c>
      <c r="ANQ650" s="204"/>
      <c r="ANR650" s="204">
        <f>VLOOKUP(ANO650,$A$681:$F$2272,6,FALSE)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VLOOKUP(ANX650,$A$681:$F$2272,6,FALSE)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VLOOKUP(AOG650,$A$681:$F$2272,6,FALSE)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VLOOKUP(AOP650,$A$681:$F$2272,6,FALSE)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VLOOKUP(AOY650,$A$681:$F$2272,6,FALSE)</f>
        <v>58</v>
      </c>
      <c r="APC650" s="203" t="s">
        <v>67</v>
      </c>
      <c r="APD650" s="10">
        <f>APB650*1.2</f>
        <v>69.599999999999994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VLOOKUP(APH650,$A$681:$F$2272,6,FALSE)</f>
        <v>7</v>
      </c>
      <c r="APL650" s="203" t="s">
        <v>67</v>
      </c>
      <c r="APM650" s="10">
        <f>APK650*1.2</f>
        <v>8.4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VLOOKUP(APQ650,$A$681:$F$2272,6,FALSE)</f>
        <v>33</v>
      </c>
      <c r="APU650" s="203" t="s">
        <v>67</v>
      </c>
      <c r="APV650" s="10">
        <f>APT650*1.2</f>
        <v>39.6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VLOOKUP(APZ650,$A$681:$F$2272,6,FALSE)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VLOOKUP(B651,$A$681:$F$2272,6,FALSE)</f>
        <v>15</v>
      </c>
      <c r="F651" s="203" t="s">
        <v>69</v>
      </c>
      <c r="G651" s="10">
        <f>E651*1.1</f>
        <v>16.5</v>
      </c>
      <c r="H651" s="10"/>
      <c r="I651" s="268"/>
      <c r="J651" s="203" t="s">
        <v>109</v>
      </c>
      <c r="K651" s="277" t="s">
        <v>2558</v>
      </c>
      <c r="M651" s="204"/>
      <c r="N651" s="204">
        <f>VLOOKUP(K651,$A$681:$F$2272,6,FALSE)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2789</v>
      </c>
      <c r="V651" s="204"/>
      <c r="W651" s="204">
        <f>VLOOKUP(T651,$A$681:$F$2272,6,FALSE)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2797</v>
      </c>
      <c r="AE651" s="204"/>
      <c r="AF651" s="204">
        <f>VLOOKUP(AC651,$A$681:$F$2272,6,FALSE)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VLOOKUP(AL651,$A$681:$F$2272,6,FALSE)</f>
        <v>58</v>
      </c>
      <c r="AP651" s="203" t="s">
        <v>69</v>
      </c>
      <c r="AQ651" s="10">
        <f>AO651*1.1</f>
        <v>63.800000000000004</v>
      </c>
      <c r="AR651" s="10"/>
      <c r="AS651" s="268"/>
      <c r="AT651" s="203" t="s">
        <v>109</v>
      </c>
      <c r="AU651" s="277" t="s">
        <v>2594</v>
      </c>
      <c r="AW651" s="204"/>
      <c r="AX651" s="204">
        <f>VLOOKUP(AU651,$A$681:$F$2272,6,FALSE)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2073</v>
      </c>
      <c r="BF651" s="204"/>
      <c r="BG651" s="204">
        <f>VLOOKUP(BD651,$A$681:$F$2272,6,FALSE)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VLOOKUP(BM651,$A$681:$F$2272,6,FALSE)</f>
        <v>58</v>
      </c>
      <c r="BQ651" s="203" t="s">
        <v>69</v>
      </c>
      <c r="BR651" s="10">
        <f>BP651*1.1</f>
        <v>63.800000000000004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VLOOKUP(BV651,$A$681:$F$2272,6,FALSE)</f>
        <v>30</v>
      </c>
      <c r="BZ651" s="203" t="s">
        <v>69</v>
      </c>
      <c r="CA651" s="10">
        <f>BY651*1.1</f>
        <v>33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VLOOKUP(CE651,$A$681:$F$2272,6,FALSE)</f>
        <v>58</v>
      </c>
      <c r="CI651" s="203" t="s">
        <v>69</v>
      </c>
      <c r="CJ651" s="10">
        <f>CH651*1.1</f>
        <v>63.800000000000004</v>
      </c>
      <c r="CK651" s="10"/>
      <c r="CL651" s="268"/>
      <c r="CM651" s="203" t="s">
        <v>109</v>
      </c>
      <c r="CN651" s="277" t="s">
        <v>2608</v>
      </c>
      <c r="CP651" s="204"/>
      <c r="CQ651" s="204">
        <f>VLOOKUP(CN651,$A$681:$F$2272,6,FALSE)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VLOOKUP(CW651,$A$681:$F$2272,6,FALSE)</f>
        <v>7</v>
      </c>
      <c r="DA651" s="203" t="s">
        <v>69</v>
      </c>
      <c r="DB651" s="10">
        <f>CZ651*1.1</f>
        <v>7.7000000000000011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VLOOKUP(DF651,$A$681:$F$2272,6,FALSE)</f>
        <v>7</v>
      </c>
      <c r="DJ651" s="203" t="s">
        <v>69</v>
      </c>
      <c r="DK651" s="10">
        <f>DI651*1.1</f>
        <v>7.7000000000000011</v>
      </c>
      <c r="DL651" s="10"/>
      <c r="DM651" s="268"/>
      <c r="DN651" s="203" t="s">
        <v>109</v>
      </c>
      <c r="DO651" s="277" t="s">
        <v>2102</v>
      </c>
      <c r="DQ651" s="204"/>
      <c r="DR651" s="204">
        <f>VLOOKUP(DO651,$A$681:$F$2272,6,FALSE)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VLOOKUP(DX651,$A$681:$F$2272,6,FALSE)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VLOOKUP(EG651,$A$681:$F$2272,6,FALSE)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2348</v>
      </c>
      <c r="ER651" s="204"/>
      <c r="ES651" s="204">
        <f>VLOOKUP(EP651,$A$681:$F$2272,6,FALSE)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2086</v>
      </c>
      <c r="FA651" s="204"/>
      <c r="FB651" s="204">
        <f>VLOOKUP(EY651,$A$681:$F$2272,6,FALSE)</f>
        <v>71</v>
      </c>
      <c r="FC651" s="203" t="s">
        <v>69</v>
      </c>
      <c r="FD651" s="10">
        <f>FB651*1.1</f>
        <v>78.100000000000009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VLOOKUP(FH651,$A$681:$F$2272,6,FALSE)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VLOOKUP(FQ651,$A$681:$F$2272,6,FALSE)</f>
        <v>30</v>
      </c>
      <c r="FU651" s="203" t="s">
        <v>69</v>
      </c>
      <c r="FV651" s="10">
        <f>FT651*1.1</f>
        <v>33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VLOOKUP(FZ651,$A$681:$F$2272,6,FALSE)</f>
        <v>30</v>
      </c>
      <c r="GD651" s="203" t="s">
        <v>69</v>
      </c>
      <c r="GE651" s="10">
        <f>GC651*1.1</f>
        <v>33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VLOOKUP(GI651,$A$681:$F$2272,6,FALSE)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VLOOKUP(GR651,$A$681:$F$2272,6,FALSE)</f>
        <v>30</v>
      </c>
      <c r="GV651" s="203" t="s">
        <v>69</v>
      </c>
      <c r="GW651" s="10">
        <f>GU651*1.1</f>
        <v>33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VLOOKUP(HA651,$A$681:$F$2272,6,FALSE)</f>
        <v>7</v>
      </c>
      <c r="HE651" s="203" t="s">
        <v>69</v>
      </c>
      <c r="HF651" s="10">
        <f>HD651*1.1</f>
        <v>7.7000000000000011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VLOOKUP(HJ651,$A$681:$F$2272,6,FALSE)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VLOOKUP(HS651,$A$681:$F$2272,6,FALSE)</f>
        <v>7</v>
      </c>
      <c r="HW651" s="203" t="s">
        <v>69</v>
      </c>
      <c r="HX651" s="10">
        <f>HV651*1.1</f>
        <v>7.7000000000000011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VLOOKUP(IB651,$A$681:$F$2272,6,FALSE)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VLOOKUP(IK651,$A$681:$F$2272,6,FALSE)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VLOOKUP(IT651,$A$681:$F$2272,6,FALSE)</f>
        <v>15</v>
      </c>
      <c r="IX651" s="203" t="s">
        <v>69</v>
      </c>
      <c r="IY651" s="10">
        <f>IW651*1.1</f>
        <v>16.5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VLOOKUP(JC651,$A$681:$F$2272,6,FALSE)</f>
        <v>33</v>
      </c>
      <c r="JG651" s="203" t="s">
        <v>69</v>
      </c>
      <c r="JH651" s="10">
        <f>JF651*1.1</f>
        <v>36.300000000000004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VLOOKUP(JL651,$A$681:$F$2272,6,FALSE)</f>
        <v>11</v>
      </c>
      <c r="JP651" s="203" t="s">
        <v>69</v>
      </c>
      <c r="JQ651" s="10">
        <f>JO651*1.1</f>
        <v>12.100000000000001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VLOOKUP(JU651,$A$681:$F$2272,6,FALSE)</f>
        <v>15</v>
      </c>
      <c r="JY651" s="203" t="s">
        <v>69</v>
      </c>
      <c r="JZ651" s="10">
        <f>JX651*1.1</f>
        <v>16.5</v>
      </c>
      <c r="KA651" s="10"/>
      <c r="KB651" s="268"/>
      <c r="KC651" s="203" t="s">
        <v>109</v>
      </c>
      <c r="KD651" s="277" t="s">
        <v>2073</v>
      </c>
      <c r="KF651" s="204"/>
      <c r="KG651" s="204">
        <f>VLOOKUP(KD651,$A$681:$F$2272,6,FALSE)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VLOOKUP(KM651,$A$681:$F$2272,6,FALSE)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2608</v>
      </c>
      <c r="KX651" s="204"/>
      <c r="KY651" s="204">
        <f>VLOOKUP(KV651,$A$681:$F$2272,6,FALSE)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VLOOKUP(LE651,$A$681:$F$2272,6,FALSE)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VLOOKUP(LN651,$A$681:$F$2272,6,FALSE)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VLOOKUP(LW651,$A$681:$F$2272,6,FALSE)</f>
        <v>150</v>
      </c>
      <c r="MA651" s="203" t="s">
        <v>69</v>
      </c>
      <c r="MB651" s="10">
        <f>LZ651*1.1</f>
        <v>165</v>
      </c>
      <c r="MC651" s="10"/>
      <c r="MD651" s="268"/>
      <c r="ME651" s="203" t="s">
        <v>109</v>
      </c>
      <c r="MF651" s="277" t="s">
        <v>2559</v>
      </c>
      <c r="MH651" s="204"/>
      <c r="MI651" s="204">
        <f>VLOOKUP(MF651,$A$681:$F$2272,6,FALSE)</f>
        <v>105</v>
      </c>
      <c r="MJ651" s="203" t="s">
        <v>69</v>
      </c>
      <c r="MK651" s="10">
        <f>MI651*1.1</f>
        <v>115.50000000000001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VLOOKUP(MO651,$A$681:$F$2272,6,FALSE)</f>
        <v>58</v>
      </c>
      <c r="MS651" s="203" t="s">
        <v>69</v>
      </c>
      <c r="MT651" s="10">
        <f>MR651*1.1</f>
        <v>63.800000000000004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VLOOKUP(MX651,$A$681:$F$2272,6,FALSE)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VLOOKUP(NG651,$A$681:$F$2272,6,FALSE)</f>
        <v>31</v>
      </c>
      <c r="NK651" s="203" t="s">
        <v>69</v>
      </c>
      <c r="NL651" s="10">
        <f>NJ651*1.1</f>
        <v>34.1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VLOOKUP(NP651,$A$681:$F$2272,6,FALSE)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VLOOKUP(NY651,$A$681:$F$2272,6,FALSE)</f>
        <v>11</v>
      </c>
      <c r="OC651" s="203" t="s">
        <v>69</v>
      </c>
      <c r="OD651" s="10">
        <f>OB651*1.1</f>
        <v>12.100000000000001</v>
      </c>
      <c r="OE651" s="10"/>
      <c r="OF651" s="268"/>
      <c r="OG651" s="203" t="s">
        <v>109</v>
      </c>
      <c r="OH651" s="277" t="s">
        <v>2101</v>
      </c>
      <c r="OJ651" s="204"/>
      <c r="OK651" s="204">
        <f>VLOOKUP(OH651,$A$681:$F$2272,6,FALSE)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VLOOKUP(OQ651,$A$681:$F$2272,6,FALSE)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VLOOKUP(OZ651,$A$681:$F$2272,6,FALSE)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2348</v>
      </c>
      <c r="PK651" s="204"/>
      <c r="PL651" s="204">
        <f>VLOOKUP(PI651,$A$681:$F$2272,6,FALSE)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VLOOKUP(PR651,$A$681:$F$2272,6,FALSE)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VLOOKUP(QA651,$A$681:$F$2272,6,FALSE)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2797</v>
      </c>
      <c r="QL651" s="204"/>
      <c r="QM651" s="204">
        <f>VLOOKUP(QJ651,$A$681:$F$2272,6,FALSE)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VLOOKUP(QS651,$A$681:$F$2272,6,FALSE)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2087</v>
      </c>
      <c r="RD651" s="204"/>
      <c r="RE651" s="204">
        <f>VLOOKUP(RB651,$A$681:$F$2272,6,FALSE)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VLOOKUP(RK651,$A$681:$F$2272,6,FALSE)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2087</v>
      </c>
      <c r="RV651" s="204"/>
      <c r="RW651" s="204">
        <f>VLOOKUP(RT651,$A$681:$F$2272,6,FALSE)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VLOOKUP(SC651,$A$681:$F$2272,6,FALSE)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VLOOKUP(SL651,$A$681:$F$2272,6,FALSE)</f>
        <v>58</v>
      </c>
      <c r="SP651" s="203" t="s">
        <v>69</v>
      </c>
      <c r="SQ651" s="10">
        <f>SO651*1.1</f>
        <v>63.800000000000004</v>
      </c>
      <c r="SR651" s="10"/>
      <c r="SS651" s="274"/>
      <c r="ST651" s="203" t="s">
        <v>109</v>
      </c>
      <c r="SU651" s="277" t="s">
        <v>2559</v>
      </c>
      <c r="SW651" s="204"/>
      <c r="SX651" s="204">
        <f>VLOOKUP(SU651,$A$681:$F$2272,6,FALSE)</f>
        <v>105</v>
      </c>
      <c r="SY651" s="203" t="s">
        <v>69</v>
      </c>
      <c r="SZ651" s="10">
        <f>SX651*1.1</f>
        <v>115.50000000000001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VLOOKUP(TD651,$A$681:$F$2272,6,FALSE)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VLOOKUP(TM651,$A$681:$F$2272,6,FALSE)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2594</v>
      </c>
      <c r="TX651" s="204"/>
      <c r="TY651" s="204">
        <f>VLOOKUP(TV651,$A$681:$F$2272,6,FALSE)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VLOOKUP(UE651,$A$681:$F$2272,6,FALSE)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VLOOKUP(UN651,$A$681:$F$2272,6,FALSE)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VLOOKUP(UW651,$A$681:$F$2272,6,FALSE)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2078</v>
      </c>
      <c r="VH651" s="204"/>
      <c r="VI651" s="204">
        <f>VLOOKUP(VF651,$A$681:$F$2272,6,FALSE)</f>
        <v>33</v>
      </c>
      <c r="VJ651" s="203" t="s">
        <v>69</v>
      </c>
      <c r="VK651" s="10">
        <f>VI651*1.1</f>
        <v>36.300000000000004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VLOOKUP(VO651,$A$681:$F$2272,6,FALSE)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VLOOKUP(VX651,$A$681:$F$2272,6,FALSE)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2789</v>
      </c>
      <c r="WI651" s="204"/>
      <c r="WJ651" s="204">
        <f>VLOOKUP(WG651,$A$681:$F$2272,6,FALSE)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VLOOKUP(WP651,$A$681:$F$2272,6,FALSE)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VLOOKUP(WY651,$A$681:$F$2272,6,FALSE)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VLOOKUP(XH651,$A$681:$F$2272,6,FALSE)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VLOOKUP(XQ651,$A$681:$F$2272,6,FALSE)</f>
        <v>30</v>
      </c>
      <c r="XU651" s="203" t="s">
        <v>69</v>
      </c>
      <c r="XV651" s="10">
        <f>XT651*1.1</f>
        <v>33</v>
      </c>
      <c r="XW651" s="10"/>
      <c r="XX651" s="274"/>
      <c r="XY651" s="203" t="s">
        <v>109</v>
      </c>
      <c r="XZ651" s="277" t="s">
        <v>2694</v>
      </c>
      <c r="YB651" s="204"/>
      <c r="YC651" s="204">
        <f>VLOOKUP(XZ651,$A$681:$F$2272,6,FALSE)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VLOOKUP(YI651,$A$681:$F$2272,6,FALSE)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VLOOKUP(YR651,$A$681:$F$2272,6,FALSE)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2797</v>
      </c>
      <c r="ZC651" s="204"/>
      <c r="ZD651" s="204">
        <f>VLOOKUP(ZA651,$A$681:$F$2272,6,FALSE)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VLOOKUP(ZJ651,$A$681:$F$2272,6,FALSE)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688</v>
      </c>
      <c r="ZU651" s="204"/>
      <c r="ZV651" s="204">
        <f>VLOOKUP(ZS651,$A$681:$F$2272,6,FALSE)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2594</v>
      </c>
      <c r="AAD651" s="204"/>
      <c r="AAE651" s="204">
        <f>VLOOKUP(AAB651,$A$681:$F$2272,6,FALSE)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VLOOKUP(AAK651,$A$681:$F$2272,6,FALSE)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2348</v>
      </c>
      <c r="AAV651" s="204"/>
      <c r="AAW651" s="204">
        <f>VLOOKUP(AAT651,$A$681:$F$2272,6,FALSE)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VLOOKUP(ABC651,$A$681:$F$2272,6,FALSE)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VLOOKUP(ABL651,$A$681:$F$2272,6,FALSE)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VLOOKUP(ABU651,$A$681:$F$2272,6,FALSE)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VLOOKUP(ACD651,$A$681:$F$2272,6,FALSE)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VLOOKUP(ACM651,$A$681:$F$2272,6,FALSE)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VLOOKUP(ACV651,$A$681:$F$2272,6,FALSE)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VLOOKUP(ADE651,$A$681:$F$2272,6,FALSE)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VLOOKUP(ADN651,$A$681:$F$2272,6,FALSE)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VLOOKUP(ADW651,$A$681:$F$2272,6,FALSE)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VLOOKUP(AEF651,$A$681:$F$2272,6,FALSE)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VLOOKUP(AEO651,$A$681:$F$2272,6,FALSE)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VLOOKUP(AEX651,$A$681:$F$2272,6,FALSE)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VLOOKUP(AFG651,$A$681:$F$2272,6,FALSE)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VLOOKUP(AFP651,$A$681:$F$2272,6,FALSE)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VLOOKUP(AFY651,$A$681:$F$2272,6,FALSE)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VLOOKUP(AGH651,$A$681:$F$2272,6,FALSE)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VLOOKUP(AGQ651,$A$681:$F$2272,6,FALSE)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VLOOKUP(AGZ651,$A$681:$F$2272,6,FALSE)</f>
        <v>11</v>
      </c>
      <c r="AHD651" s="203" t="s">
        <v>69</v>
      </c>
      <c r="AHE651" s="10">
        <f>AHC651*1.1</f>
        <v>12.100000000000001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VLOOKUP(AHI651,$A$681:$F$2272,6,FALSE)</f>
        <v>33</v>
      </c>
      <c r="AHM651" s="203" t="s">
        <v>69</v>
      </c>
      <c r="AHN651" s="10">
        <f>AHL651*1.1</f>
        <v>36.300000000000004</v>
      </c>
      <c r="AHO651" s="10"/>
      <c r="AHP651" s="274"/>
      <c r="AHQ651" s="203" t="s">
        <v>109</v>
      </c>
      <c r="AHR651" s="277" t="s">
        <v>2558</v>
      </c>
      <c r="AHT651" s="204"/>
      <c r="AHU651" s="204">
        <f>VLOOKUP(AHR651,$A$681:$F$2272,6,FALSE)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VLOOKUP(AIA651,$A$681:$F$2272,6,FALSE)</f>
        <v>7</v>
      </c>
      <c r="AIE651" s="203" t="s">
        <v>69</v>
      </c>
      <c r="AIF651" s="10">
        <f>AID651*1.1</f>
        <v>7.7000000000000011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VLOOKUP(AIJ651,$A$681:$F$2272,6,FALSE)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VLOOKUP(AIS651,$A$681:$F$2272,6,FALSE)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VLOOKUP(AJB651,$A$681:$F$2272,6,FALSE)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VLOOKUP(AJK651,$A$681:$F$2272,6,FALSE)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VLOOKUP(AJT651,$A$681:$F$2272,6,FALSE)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2102</v>
      </c>
      <c r="AKE651" s="204"/>
      <c r="AKF651" s="204">
        <f>VLOOKUP(AKC651,$A$681:$F$2272,6,FALSE)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2608</v>
      </c>
      <c r="AKN651" s="204"/>
      <c r="AKO651" s="204">
        <f>VLOOKUP(AKL651,$A$681:$F$2272,6,FALSE)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2102</v>
      </c>
      <c r="AKW651" s="204"/>
      <c r="AKX651" s="204">
        <f>VLOOKUP(AKU651,$A$681:$F$2272,6,FALSE)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VLOOKUP(ALD651,$A$681:$F$2272,6,FALSE)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2638</v>
      </c>
      <c r="ALO651" s="204"/>
      <c r="ALP651" s="204">
        <f>VLOOKUP(ALM651,$A$681:$F$2272,6,FALSE)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VLOOKUP(ALV651,$A$681:$F$2272,6,FALSE)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VLOOKUP(AME651,$A$681:$F$2272,6,FALSE)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VLOOKUP(AMN651,$A$681:$F$2272,6,FALSE)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VLOOKUP(AMW651,$A$681:$F$2272,6,FALSE)</f>
        <v>58</v>
      </c>
      <c r="ANA651" s="203" t="s">
        <v>69</v>
      </c>
      <c r="ANB651" s="10">
        <f>AMZ651*1.1</f>
        <v>63.800000000000004</v>
      </c>
      <c r="ANC651" s="10"/>
      <c r="AND651" s="274"/>
      <c r="ANE651" s="203" t="s">
        <v>109</v>
      </c>
      <c r="ANF651" s="277" t="s">
        <v>2102</v>
      </c>
      <c r="ANH651" s="204"/>
      <c r="ANI651" s="204">
        <f>VLOOKUP(ANF651,$A$681:$F$2272,6,FALSE)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2638</v>
      </c>
      <c r="ANQ651" s="204"/>
      <c r="ANR651" s="204">
        <f>VLOOKUP(ANO651,$A$681:$F$2272,6,FALSE)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VLOOKUP(ANX651,$A$681:$F$2272,6,FALSE)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2789</v>
      </c>
      <c r="AOI651" s="204"/>
      <c r="AOJ651" s="204">
        <f>VLOOKUP(AOG651,$A$681:$F$2272,6,FALSE)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VLOOKUP(AOP651,$A$681:$F$2272,6,FALSE)</f>
        <v>7</v>
      </c>
      <c r="AOT651" s="203" t="s">
        <v>69</v>
      </c>
      <c r="AOU651" s="10">
        <f>AOS651*1.1</f>
        <v>7.7000000000000011</v>
      </c>
      <c r="AOV651" s="10"/>
      <c r="AOW651" s="274"/>
      <c r="AOX651" s="203" t="s">
        <v>109</v>
      </c>
      <c r="AOY651" s="277" t="s">
        <v>2087</v>
      </c>
      <c r="APA651" s="204"/>
      <c r="APB651" s="204">
        <f>VLOOKUP(AOY651,$A$681:$F$2272,6,FALSE)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VLOOKUP(APH651,$A$681:$F$2272,6,FALSE)</f>
        <v>11</v>
      </c>
      <c r="APL651" s="203" t="s">
        <v>69</v>
      </c>
      <c r="APM651" s="10">
        <f>APK651*1.1</f>
        <v>12.100000000000001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VLOOKUP(APQ651,$A$681:$F$2272,6,FALSE)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VLOOKUP(APZ651,$A$681:$F$2272,6,FALSE)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73.599999999999994</v>
      </c>
      <c r="I652" s="268"/>
      <c r="J652" s="203"/>
      <c r="K652" s="415"/>
      <c r="M652" s="203"/>
      <c r="N652" s="203"/>
      <c r="O652" s="203"/>
      <c r="P652" s="10"/>
      <c r="Q652" s="10">
        <f>SUM(P647:P651)</f>
        <v>427.5</v>
      </c>
      <c r="R652" s="268"/>
      <c r="S652" s="203"/>
      <c r="T652" s="265"/>
      <c r="V652" s="203"/>
      <c r="W652" s="203"/>
      <c r="X652" s="203"/>
      <c r="Y652" s="10"/>
      <c r="Z652" s="10">
        <f>SUM(Y647:Y651)</f>
        <v>87.5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351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459.9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151.5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176.89999999999998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119.4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512.59999999999991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230.70000000000002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119.30000000000001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238.3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287.09999999999997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186.1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92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254.7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364.5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174.9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305.90000000000003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100.1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115.6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33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24.9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573.4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159.29999999999998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181.8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288.2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446.3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299.3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194.39999999999998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216.6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283.70000000000005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173.3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31.6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259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165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503.20000000000005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294.39999999999998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326.40000000000003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130.1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299.20000000000005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247.1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103.9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73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112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256.3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369.6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222.7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216.40000000000003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298.3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416.4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152.5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234.90000000000003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389.70000000000005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117.1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133.4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240.60000000000002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35.700000000000003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94.9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252.10000000000002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211.9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280.40000000000003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359.2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93.5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276.3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70.5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173.39999999999998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81.199999999999989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242.2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59.3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281.70000000000005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392.29999999999995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345.20000000000005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68.899999999999991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234.4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63.2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24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127.10000000000001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100.69999999999999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95.6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23.200000000000003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121.60000000000001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65.5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139.89999999999998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167.8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13.3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519.4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28.6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543.29999999999995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52.199999999999996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130.69999999999999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216.1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599.90000000000009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121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160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398.6</v>
      </c>
      <c r="AQG652" s="274"/>
    </row>
    <row r="653" spans="1:1125" s="14" customFormat="1" ht="15">
      <c r="A653" s="203" t="s">
        <v>110</v>
      </c>
      <c r="B653" s="277" t="s">
        <v>2788</v>
      </c>
      <c r="D653" s="284">
        <f>IF(C653="Kopman",2,1)</f>
        <v>1</v>
      </c>
      <c r="E653" s="204">
        <f>VLOOKUP(B653,$A$681:$F$2272,6,FALSE)</f>
        <v>30</v>
      </c>
      <c r="F653" s="203" t="s">
        <v>61</v>
      </c>
      <c r="G653" s="10">
        <f>E653*1.5</f>
        <v>45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VLOOKUP(K653,$A$681:$F$2272,6,FALSE)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2788</v>
      </c>
      <c r="V653" s="284">
        <f>IF(U653="Kopman",2,1)</f>
        <v>1</v>
      </c>
      <c r="W653" s="204">
        <f>VLOOKUP(T653,$A$681:$F$2272,6,FALSE)</f>
        <v>30</v>
      </c>
      <c r="X653" s="203" t="s">
        <v>61</v>
      </c>
      <c r="Y653" s="10">
        <f>W653*1.5*V653</f>
        <v>45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VLOOKUP(AC653,$A$681:$F$2272,6,FALSE)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VLOOKUP(AL653,$A$681:$F$2272,6,FALSE)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VLOOKUP(AU653,$A$681:$F$2272,6,FALSE)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2088</v>
      </c>
      <c r="BF653" s="284">
        <f>IF(BE653="Kopman",2,1)</f>
        <v>1</v>
      </c>
      <c r="BG653" s="204">
        <f>VLOOKUP(BD653,$A$681:$F$2272,6,FALSE)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VLOOKUP(BM653,$A$681:$F$2272,6,FALSE)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VLOOKUP(BV653,$A$681:$F$2272,6,FALSE)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2788</v>
      </c>
      <c r="CG653" s="284">
        <f>IF(CF653="Kopman",2,1)</f>
        <v>1</v>
      </c>
      <c r="CH653" s="204">
        <f>VLOOKUP(CE653,$A$681:$F$2272,6,FALSE)</f>
        <v>30</v>
      </c>
      <c r="CI653" s="203" t="s">
        <v>61</v>
      </c>
      <c r="CJ653" s="10">
        <f>CH653*1.5*CG653</f>
        <v>45</v>
      </c>
      <c r="CK653" s="10"/>
      <c r="CL653" s="268"/>
      <c r="CM653" s="203" t="s">
        <v>110</v>
      </c>
      <c r="CN653" s="417" t="s">
        <v>2788</v>
      </c>
      <c r="CO653" s="416" t="s">
        <v>2023</v>
      </c>
      <c r="CP653" s="284">
        <f>IF(CO653="Kopman",2,1)</f>
        <v>2</v>
      </c>
      <c r="CQ653" s="204">
        <f>VLOOKUP(CN653,$A$681:$F$2272,6,FALSE)</f>
        <v>30</v>
      </c>
      <c r="CR653" s="203" t="s">
        <v>61</v>
      </c>
      <c r="CS653" s="10">
        <f>CQ653*1.5*CP653</f>
        <v>90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VLOOKUP(CW653,$A$681:$F$2272,6,FALSE)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VLOOKUP(DF653,$A$681:$F$2272,6,FALSE)</f>
        <v>33</v>
      </c>
      <c r="DJ653" s="203" t="s">
        <v>61</v>
      </c>
      <c r="DK653" s="10">
        <f>DI653*1.5*DH653</f>
        <v>49.5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VLOOKUP(DO653,$A$681:$F$2272,6,FALSE)</f>
        <v>14</v>
      </c>
      <c r="DS653" s="203" t="s">
        <v>61</v>
      </c>
      <c r="DT653" s="10">
        <f>DR653*1.5*DQ653</f>
        <v>21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VLOOKUP(DX653,$A$681:$F$2272,6,FALSE)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VLOOKUP(EG653,$A$681:$F$2272,6,FALSE)</f>
        <v>54</v>
      </c>
      <c r="EK653" s="203" t="s">
        <v>61</v>
      </c>
      <c r="EL653" s="10">
        <f>EJ653*1.5*EI653</f>
        <v>81</v>
      </c>
      <c r="EM653" s="10"/>
      <c r="EN653" s="268"/>
      <c r="EO653" s="203" t="s">
        <v>110</v>
      </c>
      <c r="EP653" s="277" t="s">
        <v>2088</v>
      </c>
      <c r="ER653" s="284">
        <f>IF(EQ653="Kopman",2,1)</f>
        <v>1</v>
      </c>
      <c r="ES653" s="204">
        <f>VLOOKUP(EP653,$A$681:$F$2272,6,FALSE)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VLOOKUP(EY653,$A$681:$F$2272,6,FALSE)</f>
        <v>14</v>
      </c>
      <c r="FC653" s="203" t="s">
        <v>61</v>
      </c>
      <c r="FD653" s="10">
        <f>FB653*1.5*FA653</f>
        <v>21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VLOOKUP(FH653,$A$681:$F$2272,6,FALSE)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2088</v>
      </c>
      <c r="FS653" s="284">
        <f>IF(FR653="Kopman",2,1)</f>
        <v>1</v>
      </c>
      <c r="FT653" s="204">
        <f>VLOOKUP(FQ653,$A$681:$F$2272,6,FALSE)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2788</v>
      </c>
      <c r="GB653" s="284">
        <f>IF(GA653="Kopman",2,1)</f>
        <v>1</v>
      </c>
      <c r="GC653" s="204">
        <f>VLOOKUP(FZ653,$A$681:$F$2272,6,FALSE)</f>
        <v>30</v>
      </c>
      <c r="GD653" s="203" t="s">
        <v>61</v>
      </c>
      <c r="GE653" s="10">
        <f>GC653*1.5*GB653</f>
        <v>45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VLOOKUP(GI653,$A$681:$F$2272,6,FALSE)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2680</v>
      </c>
      <c r="GT653" s="284">
        <f>IF(GS653="Kopman",2,1)</f>
        <v>1</v>
      </c>
      <c r="GU653" s="204">
        <f>VLOOKUP(GR653,$A$681:$F$2272,6,FALSE)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VLOOKUP(HA653,$A$681:$F$2272,6,FALSE)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VLOOKUP(HJ653,$A$681:$F$2272,6,FALSE)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VLOOKUP(HS653,$A$681:$F$2272,6,FALSE)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VLOOKUP(IB653,$A$681:$F$2272,6,FALSE)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VLOOKUP(IK653,$A$681:$F$2272,6,FALSE)</f>
        <v>33</v>
      </c>
      <c r="IO653" s="203" t="s">
        <v>61</v>
      </c>
      <c r="IP653" s="10">
        <f>IN653*1.5*IM653</f>
        <v>49.5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VLOOKUP(IT653,$A$681:$F$2272,6,FALSE)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VLOOKUP(JC653,$A$681:$F$2272,6,FALSE)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2061</v>
      </c>
      <c r="JN653" s="284">
        <f>IF(JM653="Kopman",2,1)</f>
        <v>1</v>
      </c>
      <c r="JO653" s="204">
        <f>VLOOKUP(JL653,$A$681:$F$2272,6,FALSE)</f>
        <v>14</v>
      </c>
      <c r="JP653" s="203" t="s">
        <v>61</v>
      </c>
      <c r="JQ653" s="10">
        <f>JO653*1.5*JN653</f>
        <v>21</v>
      </c>
      <c r="JR653" s="10"/>
      <c r="JS653" s="268"/>
      <c r="JT653" s="203" t="s">
        <v>110</v>
      </c>
      <c r="JU653" s="277" t="s">
        <v>2680</v>
      </c>
      <c r="JW653" s="284">
        <f>IF(JV653="Kopman",2,1)</f>
        <v>1</v>
      </c>
      <c r="JX653" s="204">
        <f>VLOOKUP(JU653,$A$681:$F$2272,6,FALSE)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2062</v>
      </c>
      <c r="KF653" s="284">
        <f>IF(KE653="Kopman",2,1)</f>
        <v>1</v>
      </c>
      <c r="KG653" s="204">
        <f>VLOOKUP(KD653,$A$681:$F$2272,6,FALSE)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VLOOKUP(KM653,$A$681:$F$2272,6,FALSE)</f>
        <v>54</v>
      </c>
      <c r="KQ653" s="203" t="s">
        <v>61</v>
      </c>
      <c r="KR653" s="10">
        <f>KP653*1.5</f>
        <v>81</v>
      </c>
      <c r="KS653" s="10"/>
      <c r="KT653" s="268"/>
      <c r="KU653" s="203" t="s">
        <v>110</v>
      </c>
      <c r="KV653" s="277" t="s">
        <v>2520</v>
      </c>
      <c r="KX653" s="284">
        <f>IF(KW653="Kopman",2,1)</f>
        <v>1</v>
      </c>
      <c r="KY653" s="204">
        <f>VLOOKUP(KV653,$A$681:$F$2272,6,FALSE)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VLOOKUP(LE653,$A$681:$F$2272,6,FALSE)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VLOOKUP(LN653,$A$681:$F$2272,6,FALSE)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VLOOKUP(LW653,$A$681:$F$2272,6,FALSE)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VLOOKUP(MF653,$A$681:$F$2272,6,FALSE)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2096</v>
      </c>
      <c r="MQ653" s="284">
        <f>IF(MP653="Kopman",2,1)</f>
        <v>1</v>
      </c>
      <c r="MR653" s="204">
        <f>VLOOKUP(MO653,$A$681:$F$2272,6,FALSE)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VLOOKUP(MX653,$A$681:$F$2272,6,FALSE)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VLOOKUP(NG653,$A$681:$F$2272,6,FALSE)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VLOOKUP(NP653,$A$681:$F$2272,6,FALSE)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VLOOKUP(NY653,$A$681:$F$2272,6,FALSE)</f>
        <v>14</v>
      </c>
      <c r="OC653" s="203" t="s">
        <v>61</v>
      </c>
      <c r="OD653" s="10">
        <f>OB653*1.5</f>
        <v>21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VLOOKUP(OH653,$A$681:$F$2272,6,FALSE)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5" t="s">
        <v>2079</v>
      </c>
      <c r="OS653" s="284">
        <f>IF(OR653="Kopman",2,1)</f>
        <v>1</v>
      </c>
      <c r="OT653" s="204">
        <f>VLOOKUP(OQ653,$A$681:$F$2272,6,FALSE)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VLOOKUP(OZ653,$A$681:$F$2272,6,FALSE)</f>
        <v>54</v>
      </c>
      <c r="PD653" s="203" t="s">
        <v>61</v>
      </c>
      <c r="PE653" s="10">
        <f>PC653*1.5*PB653</f>
        <v>81</v>
      </c>
      <c r="PF653" s="10"/>
      <c r="PG653" s="268"/>
      <c r="PH653" s="203" t="s">
        <v>110</v>
      </c>
      <c r="PI653" s="277" t="s">
        <v>2788</v>
      </c>
      <c r="PK653" s="284">
        <f>IF(PJ653="Kopman",2,1)</f>
        <v>1</v>
      </c>
      <c r="PL653" s="204">
        <f>VLOOKUP(PI653,$A$681:$F$2272,6,FALSE)</f>
        <v>30</v>
      </c>
      <c r="PM653" s="203" t="s">
        <v>61</v>
      </c>
      <c r="PN653" s="10">
        <f>PL653*1.5*PK653</f>
        <v>45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VLOOKUP(PR653,$A$681:$F$2272,6,FALSE)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VLOOKUP(QA653,$A$681:$F$2272,6,FALSE)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VLOOKUP(QJ653,$A$681:$F$2272,6,FALSE)</f>
        <v>33</v>
      </c>
      <c r="QN653" s="203" t="s">
        <v>61</v>
      </c>
      <c r="QO653" s="10">
        <f>QM653*1.5*QL653</f>
        <v>49.5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VLOOKUP(QS653,$A$681:$F$2272,6,FALSE)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VLOOKUP(RB653,$A$681:$F$2272,6,FALSE)</f>
        <v>33</v>
      </c>
      <c r="RF653" s="203" t="s">
        <v>61</v>
      </c>
      <c r="RG653" s="10">
        <f>RE653*1.5*RD653</f>
        <v>49.5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VLOOKUP(RK653,$A$681:$F$2272,6,FALSE)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VLOOKUP(RT653,$A$681:$F$2272,6,FALSE)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VLOOKUP(SC653,$A$681:$F$2272,6,FALSE)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VLOOKUP(SL653,$A$681:$F$2272,6,FALSE)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VLOOKUP(SU653,$A$681:$F$2272,6,FALSE)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VLOOKUP(TD653,$A$681:$F$2272,6,FALSE)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VLOOKUP(TM653,$A$681:$F$2272,6,FALSE)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VLOOKUP(TV653,$A$681:$F$2272,6,FALSE)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VLOOKUP(UE653,$A$681:$F$2272,6,FALSE)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VLOOKUP(UN653,$A$681:$F$2272,6,FALSE)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2096</v>
      </c>
      <c r="UY653" s="284">
        <f>IF(UX653="Kopman",2,1)</f>
        <v>1</v>
      </c>
      <c r="UZ653" s="204">
        <f>VLOOKUP(UW653,$A$681:$F$2272,6,FALSE)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VLOOKUP(VF653,$A$681:$F$2272,6,FALSE)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VLOOKUP(VO653,$A$681:$F$2272,6,FALSE)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VLOOKUP(VX653,$A$681:$F$2272,6,FALSE)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VLOOKUP(WG653,$A$681:$F$2272,6,FALSE)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VLOOKUP(WP653,$A$681:$F$2272,6,FALSE)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VLOOKUP(WY653,$A$681:$F$2272,6,FALSE)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2814</v>
      </c>
      <c r="XJ653" s="284">
        <f>IF(XI653="Kopman",2,1)</f>
        <v>1</v>
      </c>
      <c r="XK653" s="204">
        <f>VLOOKUP(XH653,$A$681:$F$2272,6,FALSE)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VLOOKUP(XQ653,$A$681:$F$2272,6,FALSE)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VLOOKUP(XZ653,$A$681:$F$2272,6,FALSE)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VLOOKUP(YI653,$A$681:$F$2272,6,FALSE)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VLOOKUP(YR653,$A$681:$F$2272,6,FALSE)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VLOOKUP(ZA653,$A$681:$F$2272,6,FALSE)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VLOOKUP(ZJ653,$A$681:$F$2272,6,FALSE)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VLOOKUP(ZS653,$A$681:$F$2272,6,FALSE)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VLOOKUP(AAB653,$A$681:$F$2272,6,FALSE)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2652</v>
      </c>
      <c r="AAM653" s="284">
        <f>IF(AAL653="Kopman",2,1)</f>
        <v>1</v>
      </c>
      <c r="AAN653" s="204">
        <f>VLOOKUP(AAK653,$A$681:$F$2272,6,FALSE)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VLOOKUP(AAT653,$A$681:$F$2272,6,FALSE)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VLOOKUP(ABC653,$A$681:$F$2272,6,FALSE)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VLOOKUP(ABL653,$A$681:$F$2272,6,FALSE)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7" t="s">
        <v>846</v>
      </c>
      <c r="ABV653" s="416" t="s">
        <v>2023</v>
      </c>
      <c r="ABW653" s="284">
        <f>IF(ABV653="Kopman",2,1)</f>
        <v>2</v>
      </c>
      <c r="ABX653" s="204">
        <f>VLOOKUP(ABU653,$A$681:$F$2272,6,FALSE)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VLOOKUP(ACD653,$A$681:$F$2272,6,FALSE)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VLOOKUP(ACM653,$A$681:$F$2272,6,FALSE)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VLOOKUP(ACV653,$A$681:$F$2272,6,FALSE)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VLOOKUP(ADE653,$A$681:$F$2272,6,FALSE)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VLOOKUP(ADN653,$A$681:$F$2272,6,FALSE)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VLOOKUP(ADW653,$A$681:$F$2272,6,FALSE)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VLOOKUP(AEF653,$A$681:$F$2272,6,FALSE)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VLOOKUP(AEO653,$A$681:$F$2272,6,FALSE)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VLOOKUP(AEX653,$A$681:$F$2272,6,FALSE)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VLOOKUP(AFG653,$A$681:$F$2272,6,FALSE)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VLOOKUP(AFP653,$A$681:$F$2272,6,FALSE)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VLOOKUP(AFY653,$A$681:$F$2272,6,FALSE)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VLOOKUP(AGH653,$A$681:$F$2272,6,FALSE)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VLOOKUP(AGQ653,$A$681:$F$2272,6,FALSE)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2680</v>
      </c>
      <c r="AHB653" s="284">
        <f>IF(AHA653="Kopman",2,1)</f>
        <v>1</v>
      </c>
      <c r="AHC653" s="204">
        <f>VLOOKUP(AGZ653,$A$681:$F$2272,6,FALSE)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VLOOKUP(AHI653,$A$681:$F$2272,6,FALSE)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VLOOKUP(AHR653,$A$681:$F$2272,6,FALSE)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2814</v>
      </c>
      <c r="AIC653" s="284">
        <f>IF(AIB653="Kopman",2,1)</f>
        <v>1</v>
      </c>
      <c r="AID653" s="204">
        <f>VLOOKUP(AIA653,$A$681:$F$2272,6,FALSE)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VLOOKUP(AIJ653,$A$681:$F$2272,6,FALSE)</f>
        <v>54</v>
      </c>
      <c r="AIN653" s="203" t="s">
        <v>61</v>
      </c>
      <c r="AIO653" s="10">
        <f>AIM653*1.5*AIL653</f>
        <v>81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VLOOKUP(AIS653,$A$681:$F$2272,6,FALSE)</f>
        <v>14</v>
      </c>
      <c r="AIW653" s="203" t="s">
        <v>61</v>
      </c>
      <c r="AIX653" s="10">
        <f>AIV653*1.5*AIU653</f>
        <v>21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VLOOKUP(AJB653,$A$681:$F$2272,6,FALSE)</f>
        <v>54</v>
      </c>
      <c r="AJF653" s="203" t="s">
        <v>61</v>
      </c>
      <c r="AJG653" s="10">
        <f>AJE653*1.5*AJD653</f>
        <v>81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VLOOKUP(AJK653,$A$681:$F$2272,6,FALSE)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2680</v>
      </c>
      <c r="AJV653" s="284">
        <f>IF(AJU653="Kopman",2,1)</f>
        <v>1</v>
      </c>
      <c r="AJW653" s="204">
        <f>VLOOKUP(AJT653,$A$681:$F$2272,6,FALSE)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VLOOKUP(AKC653,$A$681:$F$2272,6,FALSE)</f>
        <v>54</v>
      </c>
      <c r="AKG653" s="203" t="s">
        <v>61</v>
      </c>
      <c r="AKH653" s="10">
        <f>AKF653*1.5*AKE653</f>
        <v>81</v>
      </c>
      <c r="AKI653" s="10"/>
      <c r="AKJ653" s="274"/>
      <c r="AKK653" s="203" t="s">
        <v>110</v>
      </c>
      <c r="AKL653" s="277" t="s">
        <v>2788</v>
      </c>
      <c r="AKN653" s="284">
        <f>IF(AKM653="Kopman",2,1)</f>
        <v>1</v>
      </c>
      <c r="AKO653" s="204">
        <f>VLOOKUP(AKL653,$A$681:$F$2272,6,FALSE)</f>
        <v>30</v>
      </c>
      <c r="AKP653" s="203" t="s">
        <v>61</v>
      </c>
      <c r="AKQ653" s="10">
        <f>AKO653*1.5*AKN653</f>
        <v>45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VLOOKUP(AKU653,$A$681:$F$2272,6,FALSE)</f>
        <v>14</v>
      </c>
      <c r="AKY653" s="203" t="s">
        <v>61</v>
      </c>
      <c r="AKZ653" s="10">
        <f>AKX653*1.5*AKW653</f>
        <v>21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VLOOKUP(ALD653,$A$681:$F$2272,6,FALSE)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VLOOKUP(ALM653,$A$681:$F$2272,6,FALSE)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VLOOKUP(ALV653,$A$681:$F$2272,6,FALSE)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VLOOKUP(AME653,$A$681:$F$2272,6,FALSE)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VLOOKUP(AMN653,$A$681:$F$2272,6,FALSE)</f>
        <v>33</v>
      </c>
      <c r="AMR653" s="203" t="s">
        <v>61</v>
      </c>
      <c r="AMS653" s="10">
        <f>AMQ653*1.5*AMP653</f>
        <v>49.5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VLOOKUP(AMW653,$A$681:$F$2272,6,FALSE)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VLOOKUP(ANF653,$A$681:$F$2272,6,FALSE)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VLOOKUP(ANO653,$A$681:$F$2272,6,FALSE)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VLOOKUP(ANX653,$A$681:$F$2272,6,FALSE)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VLOOKUP(AOG653,$A$681:$F$2272,6,FALSE)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VLOOKUP(AOP653,$A$681:$F$2272,6,FALSE)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VLOOKUP(AOY653,$A$681:$F$2272,6,FALSE)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VLOOKUP(APH653,$A$681:$F$2272,6,FALSE)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2088</v>
      </c>
      <c r="APS653" s="284">
        <f>IF(APR653="Kopman",2,1)</f>
        <v>1</v>
      </c>
      <c r="APT653" s="204">
        <f>VLOOKUP(APQ653,$A$681:$F$2272,6,FALSE)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VLOOKUP(APZ653,$A$681:$F$2272,6,FALSE)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VLOOKUP(B654,$A$681:$F$2272,6,FALSE)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VLOOKUP(K654,$A$681:$F$2272,6,FALSE)</f>
        <v>33</v>
      </c>
      <c r="O654" s="203" t="s">
        <v>63</v>
      </c>
      <c r="P654" s="10">
        <f>N654*1.4</f>
        <v>46.199999999999996</v>
      </c>
      <c r="Q654" s="10"/>
      <c r="R654" s="268"/>
      <c r="S654" s="203" t="s">
        <v>111</v>
      </c>
      <c r="T654" s="277" t="s">
        <v>2684</v>
      </c>
      <c r="V654" s="204"/>
      <c r="W654" s="204">
        <f>VLOOKUP(T654,$A$681:$F$2272,6,FALSE)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2788</v>
      </c>
      <c r="AE654" s="204"/>
      <c r="AF654" s="204">
        <f>VLOOKUP(AC654,$A$681:$F$2272,6,FALSE)</f>
        <v>30</v>
      </c>
      <c r="AG654" s="203" t="s">
        <v>63</v>
      </c>
      <c r="AH654" s="10">
        <f>AF654*1.4</f>
        <v>42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VLOOKUP(AL654,$A$681:$F$2272,6,FALSE)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VLOOKUP(AU654,$A$681:$F$2272,6,FALSE)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VLOOKUP(BD654,$A$681:$F$2272,6,FALSE)</f>
        <v>33</v>
      </c>
      <c r="BH654" s="203" t="s">
        <v>63</v>
      </c>
      <c r="BI654" s="10">
        <f>BG654*1.4</f>
        <v>46.199999999999996</v>
      </c>
      <c r="BJ654" s="10"/>
      <c r="BK654" s="268"/>
      <c r="BL654" s="203" t="s">
        <v>111</v>
      </c>
      <c r="BM654" s="277" t="s">
        <v>2788</v>
      </c>
      <c r="BO654" s="204"/>
      <c r="BP654" s="204">
        <f>VLOOKUP(BM654,$A$681:$F$2272,6,FALSE)</f>
        <v>30</v>
      </c>
      <c r="BQ654" s="203" t="s">
        <v>63</v>
      </c>
      <c r="BR654" s="10">
        <f>BP654*1.4</f>
        <v>42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VLOOKUP(BV654,$A$681:$F$2272,6,FALSE)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2061</v>
      </c>
      <c r="CG654" s="204"/>
      <c r="CH654" s="204">
        <f>VLOOKUP(CE654,$A$681:$F$2272,6,FALSE)</f>
        <v>14</v>
      </c>
      <c r="CI654" s="203" t="s">
        <v>63</v>
      </c>
      <c r="CJ654" s="10">
        <f>CH654*1.4</f>
        <v>19.599999999999998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VLOOKUP(CN654,$A$681:$F$2272,6,FALSE)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VLOOKUP(CW654,$A$681:$F$2272,6,FALSE)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2788</v>
      </c>
      <c r="DH654" s="204"/>
      <c r="DI654" s="204">
        <f>VLOOKUP(DF654,$A$681:$F$2272,6,FALSE)</f>
        <v>30</v>
      </c>
      <c r="DJ654" s="203" t="s">
        <v>63</v>
      </c>
      <c r="DK654" s="10">
        <f>DI654*1.4</f>
        <v>42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VLOOKUP(DO654,$A$681:$F$2272,6,FALSE)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VLOOKUP(DX654,$A$681:$F$2272,6,FALSE)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VLOOKUP(EG654,$A$681:$F$2272,6,FALSE)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VLOOKUP(EP654,$A$681:$F$2272,6,FALSE)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2586</v>
      </c>
      <c r="FA654" s="204"/>
      <c r="FB654" s="204">
        <f>VLOOKUP(EY654,$A$681:$F$2272,6,FALSE)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VLOOKUP(FH654,$A$681:$F$2272,6,FALSE)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2652</v>
      </c>
      <c r="FS654" s="204"/>
      <c r="FT654" s="204">
        <f>VLOOKUP(FQ654,$A$681:$F$2272,6,FALSE)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2850</v>
      </c>
      <c r="GB654" s="204"/>
      <c r="GC654" s="204">
        <f>VLOOKUP(FZ654,$A$681:$F$2272,6,FALSE)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VLOOKUP(GI654,$A$681:$F$2272,6,FALSE)</f>
        <v>54</v>
      </c>
      <c r="GM654" s="203" t="s">
        <v>63</v>
      </c>
      <c r="GN654" s="10">
        <f>GL654*1.4</f>
        <v>75.599999999999994</v>
      </c>
      <c r="GO654" s="10"/>
      <c r="GP654" s="268"/>
      <c r="GQ654" s="203" t="s">
        <v>111</v>
      </c>
      <c r="GR654" s="277" t="s">
        <v>2850</v>
      </c>
      <c r="GT654" s="204"/>
      <c r="GU654" s="204">
        <f>VLOOKUP(GR654,$A$681:$F$2272,6,FALSE)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2070</v>
      </c>
      <c r="HC654" s="204"/>
      <c r="HD654" s="204">
        <f>VLOOKUP(HA654,$A$681:$F$2272,6,FALSE)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2788</v>
      </c>
      <c r="HL654" s="204"/>
      <c r="HM654" s="204">
        <f>VLOOKUP(HJ654,$A$681:$F$2272,6,FALSE)</f>
        <v>30</v>
      </c>
      <c r="HN654" s="203" t="s">
        <v>63</v>
      </c>
      <c r="HO654" s="10">
        <f>HM654*1.4</f>
        <v>42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VLOOKUP(HS654,$A$681:$F$2272,6,FALSE)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VLOOKUP(IB654,$A$681:$F$2272,6,FALSE)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VLOOKUP(IK654,$A$681:$F$2272,6,FALSE)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VLOOKUP(IT654,$A$681:$F$2272,6,FALSE)</f>
        <v>33</v>
      </c>
      <c r="IX654" s="203" t="s">
        <v>63</v>
      </c>
      <c r="IY654" s="10">
        <f>IW654*1.4</f>
        <v>46.199999999999996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VLOOKUP(JC654,$A$681:$F$2272,6,FALSE)</f>
        <v>33</v>
      </c>
      <c r="JG654" s="203" t="s">
        <v>63</v>
      </c>
      <c r="JH654" s="10">
        <f>JF654*1.4</f>
        <v>46.199999999999996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VLOOKUP(JL654,$A$681:$F$2272,6,FALSE)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2070</v>
      </c>
      <c r="JW654" s="204"/>
      <c r="JX654" s="204">
        <f>VLOOKUP(JU654,$A$681:$F$2272,6,FALSE)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VLOOKUP(KD654,$A$681:$F$2272,6,FALSE)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2096</v>
      </c>
      <c r="KO654" s="204"/>
      <c r="KP654" s="204">
        <f>VLOOKUP(KM654,$A$681:$F$2272,6,FALSE)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VLOOKUP(KV654,$A$681:$F$2272,6,FALSE)</f>
        <v>33</v>
      </c>
      <c r="KZ654" s="203" t="s">
        <v>63</v>
      </c>
      <c r="LA654" s="10">
        <f>KY654*1.4</f>
        <v>46.199999999999996</v>
      </c>
      <c r="LB654" s="10"/>
      <c r="LC654" s="268"/>
      <c r="LD654" s="203" t="s">
        <v>111</v>
      </c>
      <c r="LE654" s="277" t="s">
        <v>2088</v>
      </c>
      <c r="LG654" s="204"/>
      <c r="LH654" s="204">
        <f>VLOOKUP(LE654,$A$681:$F$2272,6,FALSE)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VLOOKUP(LN654,$A$681:$F$2272,6,FALSE)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VLOOKUP(LW654,$A$681:$F$2272,6,FALSE)</f>
        <v>33</v>
      </c>
      <c r="MA654" s="203" t="s">
        <v>63</v>
      </c>
      <c r="MB654" s="10">
        <f>LZ654*1.4</f>
        <v>46.199999999999996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VLOOKUP(MF654,$A$681:$F$2272,6,FALSE)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2788</v>
      </c>
      <c r="MQ654" s="204"/>
      <c r="MR654" s="204">
        <f>VLOOKUP(MO654,$A$681:$F$2272,6,FALSE)</f>
        <v>30</v>
      </c>
      <c r="MS654" s="203" t="s">
        <v>63</v>
      </c>
      <c r="MT654" s="10">
        <f>MR654*1.4</f>
        <v>42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VLOOKUP(MX654,$A$681:$F$2272,6,FALSE)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VLOOKUP(NG654,$A$681:$F$2272,6,FALSE)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VLOOKUP(NP654,$A$681:$F$2272,6,FALSE)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2079</v>
      </c>
      <c r="OA654" s="204"/>
      <c r="OB654" s="204">
        <f>VLOOKUP(NY654,$A$681:$F$2272,6,FALSE)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2322</v>
      </c>
      <c r="OJ654" s="204"/>
      <c r="OK654" s="204">
        <f>VLOOKUP(OH654,$A$681:$F$2272,6,FALSE)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2690</v>
      </c>
      <c r="OS654" s="204"/>
      <c r="OT654" s="204">
        <f>VLOOKUP(OQ654,$A$681:$F$2272,6,FALSE)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VLOOKUP(OZ654,$A$681:$F$2272,6,FALSE)</f>
        <v>33</v>
      </c>
      <c r="PD654" s="203" t="s">
        <v>63</v>
      </c>
      <c r="PE654" s="10">
        <f>PC654*1.4</f>
        <v>46.199999999999996</v>
      </c>
      <c r="PF654" s="10"/>
      <c r="PG654" s="268"/>
      <c r="PH654" s="203" t="s">
        <v>111</v>
      </c>
      <c r="PI654" s="277" t="s">
        <v>2680</v>
      </c>
      <c r="PK654" s="204"/>
      <c r="PL654" s="204">
        <f>VLOOKUP(PI654,$A$681:$F$2272,6,FALSE)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VLOOKUP(PR654,$A$681:$F$2272,6,FALSE)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VLOOKUP(QA654,$A$681:$F$2272,6,FALSE)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VLOOKUP(QJ654,$A$681:$F$2272,6,FALSE)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VLOOKUP(QS654,$A$681:$F$2272,6,FALSE)</f>
        <v>54</v>
      </c>
      <c r="QW654" s="203" t="s">
        <v>63</v>
      </c>
      <c r="QX654" s="10">
        <f>QV654*1.4</f>
        <v>75.599999999999994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VLOOKUP(RB654,$A$681:$F$2272,6,FALSE)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VLOOKUP(RK654,$A$681:$F$2272,6,FALSE)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VLOOKUP(RT654,$A$681:$F$2272,6,FALSE)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VLOOKUP(SC654,$A$681:$F$2272,6,FALSE)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2788</v>
      </c>
      <c r="SN654" s="204"/>
      <c r="SO654" s="204">
        <f>VLOOKUP(SL654,$A$681:$F$2272,6,FALSE)</f>
        <v>30</v>
      </c>
      <c r="SP654" s="203" t="s">
        <v>63</v>
      </c>
      <c r="SQ654" s="10">
        <f>SO654*1.4</f>
        <v>42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VLOOKUP(SU654,$A$681:$F$2272,6,FALSE)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VLOOKUP(TD654,$A$681:$F$2272,6,FALSE)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VLOOKUP(TM654,$A$681:$F$2272,6,FALSE)</f>
        <v>92</v>
      </c>
      <c r="TQ654" s="203" t="s">
        <v>63</v>
      </c>
      <c r="TR654" s="10">
        <f>TP654*1.4</f>
        <v>128.79999999999998</v>
      </c>
      <c r="TS654" s="10"/>
      <c r="TT654" s="274"/>
      <c r="TU654" s="203" t="s">
        <v>111</v>
      </c>
      <c r="TV654" s="277" t="s">
        <v>2322</v>
      </c>
      <c r="TX654" s="204"/>
      <c r="TY654" s="204">
        <f>VLOOKUP(TV654,$A$681:$F$2272,6,FALSE)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VLOOKUP(UE654,$A$681:$F$2272,6,FALSE)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VLOOKUP(UN654,$A$681:$F$2272,6,FALSE)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2079</v>
      </c>
      <c r="UY654" s="204"/>
      <c r="UZ654" s="204">
        <f>VLOOKUP(UW654,$A$681:$F$2272,6,FALSE)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2138</v>
      </c>
      <c r="VH654" s="204"/>
      <c r="VI654" s="204">
        <f>VLOOKUP(VF654,$A$681:$F$2272,6,FALSE)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VLOOKUP(VO654,$A$681:$F$2272,6,FALSE)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VLOOKUP(VX654,$A$681:$F$2272,6,FALSE)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2586</v>
      </c>
      <c r="WI654" s="204"/>
      <c r="WJ654" s="204">
        <f>VLOOKUP(WG654,$A$681:$F$2272,6,FALSE)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VLOOKUP(WP654,$A$681:$F$2272,6,FALSE)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VLOOKUP(WY654,$A$681:$F$2272,6,FALSE)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2147</v>
      </c>
      <c r="XJ654" s="204"/>
      <c r="XK654" s="204">
        <f>VLOOKUP(XH654,$A$681:$F$2272,6,FALSE)</f>
        <v>16</v>
      </c>
      <c r="XL654" s="203" t="s">
        <v>63</v>
      </c>
      <c r="XM654" s="10">
        <f>XK654*1.4</f>
        <v>22.4</v>
      </c>
      <c r="XO654" s="274"/>
      <c r="XP654" s="203" t="s">
        <v>111</v>
      </c>
      <c r="XQ654" s="277" t="s">
        <v>1446</v>
      </c>
      <c r="XS654" s="204"/>
      <c r="XT654" s="204">
        <f>VLOOKUP(XQ654,$A$681:$F$2272,6,FALSE)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VLOOKUP(XZ654,$A$681:$F$2272,6,FALSE)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VLOOKUP(YI654,$A$681:$F$2272,6,FALSE)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VLOOKUP(YR654,$A$681:$F$2272,6,FALSE)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2088</v>
      </c>
      <c r="ZC654" s="204"/>
      <c r="ZD654" s="204">
        <f>VLOOKUP(ZA654,$A$681:$F$2272,6,FALSE)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VLOOKUP(ZJ654,$A$681:$F$2272,6,FALSE)</f>
        <v>33</v>
      </c>
      <c r="ZN654" s="203" t="s">
        <v>63</v>
      </c>
      <c r="ZO654" s="10">
        <f>ZM654*1.4</f>
        <v>46.199999999999996</v>
      </c>
      <c r="ZQ654" s="274"/>
      <c r="ZR654" s="203" t="s">
        <v>111</v>
      </c>
      <c r="ZS654" s="277" t="s">
        <v>810</v>
      </c>
      <c r="ZU654" s="204"/>
      <c r="ZV654" s="204">
        <f>VLOOKUP(ZS654,$A$681:$F$2272,6,FALSE)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VLOOKUP(AAB654,$A$681:$F$2272,6,FALSE)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VLOOKUP(AAK654,$A$681:$F$2272,6,FALSE)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VLOOKUP(AAT654,$A$681:$F$2272,6,FALSE)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VLOOKUP(ABC654,$A$681:$F$2272,6,FALSE)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2520</v>
      </c>
      <c r="ABN654" s="204"/>
      <c r="ABO654" s="204">
        <f>VLOOKUP(ABL654,$A$681:$F$2272,6,FALSE)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2138</v>
      </c>
      <c r="ABW654" s="204"/>
      <c r="ABX654" s="204">
        <f>VLOOKUP(ABU654,$A$681:$F$2272,6,FALSE)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VLOOKUP(ACD654,$A$681:$F$2272,6,FALSE)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VLOOKUP(ACM654,$A$681:$F$2272,6,FALSE)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VLOOKUP(ACV654,$A$681:$F$2272,6,FALSE)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VLOOKUP(ADE654,$A$681:$F$2272,6,FALSE)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VLOOKUP(ADN654,$A$681:$F$2272,6,FALSE)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VLOOKUP(ADW654,$A$681:$F$2272,6,FALSE)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VLOOKUP(AEF654,$A$681:$F$2272,6,FALSE)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VLOOKUP(AEO654,$A$681:$F$2272,6,FALSE)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VLOOKUP(AEX654,$A$681:$F$2272,6,FALSE)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VLOOKUP(AFG654,$A$681:$F$2272,6,FALSE)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VLOOKUP(AFP654,$A$681:$F$2272,6,FALSE)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VLOOKUP(AFY654,$A$681:$F$2272,6,FALSE)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VLOOKUP(AGH654,$A$681:$F$2272,6,FALSE)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VLOOKUP(AGQ654,$A$681:$F$2272,6,FALSE)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VLOOKUP(AGZ654,$A$681:$F$2272,6,FALSE)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VLOOKUP(AHI654,$A$681:$F$2272,6,FALSE)</f>
        <v>33</v>
      </c>
      <c r="AHM654" s="203" t="s">
        <v>63</v>
      </c>
      <c r="AHN654" s="10">
        <f>AHL654*1.4</f>
        <v>46.199999999999996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VLOOKUP(AHR654,$A$681:$F$2272,6,FALSE)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2147</v>
      </c>
      <c r="AIC654" s="204"/>
      <c r="AID654" s="204">
        <f>VLOOKUP(AIA654,$A$681:$F$2272,6,FALSE)</f>
        <v>16</v>
      </c>
      <c r="AIE654" s="203" t="s">
        <v>63</v>
      </c>
      <c r="AIF654" s="10">
        <f>AID654*1.4</f>
        <v>22.4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VLOOKUP(AIJ654,$A$681:$F$2272,6,FALSE)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VLOOKUP(AIS654,$A$681:$F$2272,6,FALSE)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VLOOKUP(AJB654,$A$681:$F$2272,6,FALSE)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2088</v>
      </c>
      <c r="AJM654" s="204"/>
      <c r="AJN654" s="204">
        <f>VLOOKUP(AJK654,$A$681:$F$2272,6,FALSE)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2672</v>
      </c>
      <c r="AJV654" s="204"/>
      <c r="AJW654" s="204">
        <f>VLOOKUP(AJT654,$A$681:$F$2272,6,FALSE)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VLOOKUP(AKC654,$A$681:$F$2272,6,FALSE)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VLOOKUP(AKL654,$A$681:$F$2272,6,FALSE)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VLOOKUP(AKU654,$A$681:$F$2272,6,FALSE)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VLOOKUP(ALD654,$A$681:$F$2272,6,FALSE)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2088</v>
      </c>
      <c r="ALO654" s="204"/>
      <c r="ALP654" s="204">
        <f>VLOOKUP(ALM654,$A$681:$F$2272,6,FALSE)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VLOOKUP(ALV654,$A$681:$F$2272,6,FALSE)</f>
        <v>14</v>
      </c>
      <c r="ALZ654" s="203" t="s">
        <v>63</v>
      </c>
      <c r="AMA654" s="10">
        <f>ALY654*1.4</f>
        <v>19.599999999999998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VLOOKUP(AME654,$A$681:$F$2272,6,FALSE)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VLOOKUP(AMN654,$A$681:$F$2272,6,FALSE)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VLOOKUP(AMW654,$A$681:$F$2272,6,FALSE)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VLOOKUP(ANF654,$A$681:$F$2272,6,FALSE)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VLOOKUP(ANO654,$A$681:$F$2272,6,FALSE)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VLOOKUP(ANX654,$A$681:$F$2272,6,FALSE)</f>
        <v>33</v>
      </c>
      <c r="AOB654" s="203" t="s">
        <v>63</v>
      </c>
      <c r="AOC654" s="10">
        <f>AOA654*1.4</f>
        <v>46.199999999999996</v>
      </c>
      <c r="AOD654" s="10"/>
      <c r="AOE654" s="274"/>
      <c r="AOF654" s="203" t="s">
        <v>111</v>
      </c>
      <c r="AOG654" s="277" t="s">
        <v>2788</v>
      </c>
      <c r="AOI654" s="204"/>
      <c r="AOJ654" s="204">
        <f>VLOOKUP(AOG654,$A$681:$F$2272,6,FALSE)</f>
        <v>30</v>
      </c>
      <c r="AOK654" s="203" t="s">
        <v>63</v>
      </c>
      <c r="AOL654" s="10">
        <f>AOJ654*1.4</f>
        <v>42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VLOOKUP(AOP654,$A$681:$F$2272,6,FALSE)</f>
        <v>54</v>
      </c>
      <c r="AOT654" s="203" t="s">
        <v>63</v>
      </c>
      <c r="AOU654" s="10">
        <f>AOS654*1.4</f>
        <v>75.599999999999994</v>
      </c>
      <c r="AOV654" s="10"/>
      <c r="AOW654" s="274"/>
      <c r="AOX654" s="203" t="s">
        <v>111</v>
      </c>
      <c r="AOY654" s="277" t="s">
        <v>2788</v>
      </c>
      <c r="APA654" s="204"/>
      <c r="APB654" s="204">
        <f>VLOOKUP(AOY654,$A$681:$F$2272,6,FALSE)</f>
        <v>30</v>
      </c>
      <c r="APC654" s="203" t="s">
        <v>63</v>
      </c>
      <c r="APD654" s="10">
        <f>APB654*1.4</f>
        <v>42</v>
      </c>
      <c r="APE654" s="10"/>
      <c r="APF654" s="274"/>
      <c r="APG654" s="203" t="s">
        <v>111</v>
      </c>
      <c r="APH654" s="277" t="s">
        <v>2690</v>
      </c>
      <c r="APJ654" s="204"/>
      <c r="APK654" s="204">
        <f>VLOOKUP(APH654,$A$681:$F$2272,6,FALSE)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VLOOKUP(APQ654,$A$681:$F$2272,6,FALSE)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VLOOKUP(APZ654,$A$681:$F$2272,6,FALSE)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2814</v>
      </c>
      <c r="D655" s="204"/>
      <c r="E655" s="204">
        <f>VLOOKUP(B655,$A$681:$F$2272,6,FALSE)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VLOOKUP(K655,$A$681:$F$2272,6,FALSE)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VLOOKUP(T655,$A$681:$F$2272,6,FALSE)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2088</v>
      </c>
      <c r="AE655" s="204"/>
      <c r="AF655" s="204">
        <f>VLOOKUP(AC655,$A$681:$F$2272,6,FALSE)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VLOOKUP(AL655,$A$681:$F$2272,6,FALSE)</f>
        <v>33</v>
      </c>
      <c r="AP655" s="203" t="s">
        <v>65</v>
      </c>
      <c r="AQ655" s="10">
        <f>AO655*1.3</f>
        <v>42.9</v>
      </c>
      <c r="AR655" s="10"/>
      <c r="AS655" s="268"/>
      <c r="AT655" s="203" t="s">
        <v>112</v>
      </c>
      <c r="AU655" s="277" t="s">
        <v>2672</v>
      </c>
      <c r="AW655" s="204"/>
      <c r="AX655" s="204">
        <f>VLOOKUP(AU655,$A$681:$F$2272,6,FALSE)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VLOOKUP(BD655,$A$681:$F$2272,6,FALSE)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2088</v>
      </c>
      <c r="BO655" s="204"/>
      <c r="BP655" s="204">
        <f>VLOOKUP(BM655,$A$681:$F$2272,6,FALSE)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VLOOKUP(BV655,$A$681:$F$2272,6,FALSE)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VLOOKUP(CE655,$A$681:$F$2272,6,FALSE)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VLOOKUP(CN655,$A$681:$F$2272,6,FALSE)</f>
        <v>33</v>
      </c>
      <c r="CR655" s="203" t="s">
        <v>65</v>
      </c>
      <c r="CS655" s="10">
        <f>CQ655*1.3</f>
        <v>42.9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VLOOKUP(CW655,$A$681:$F$2272,6,FALSE)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VLOOKUP(DF655,$A$681:$F$2272,6,FALSE)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VLOOKUP(DO655,$A$681:$F$2272,6,FALSE)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VLOOKUP(DX655,$A$681:$F$2272,6,FALSE)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VLOOKUP(EG655,$A$681:$F$2272,6,FALSE)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VLOOKUP(EP655,$A$681:$F$2272,6,FALSE)</f>
        <v>33</v>
      </c>
      <c r="ET655" s="203" t="s">
        <v>65</v>
      </c>
      <c r="EU655" s="10">
        <f>ES655*1.3</f>
        <v>42.9</v>
      </c>
      <c r="EV655" s="10"/>
      <c r="EW655" s="268"/>
      <c r="EX655" s="203" t="s">
        <v>112</v>
      </c>
      <c r="EY655" s="277" t="s">
        <v>2788</v>
      </c>
      <c r="FA655" s="204"/>
      <c r="FB655" s="204">
        <f>VLOOKUP(EY655,$A$681:$F$2272,6,FALSE)</f>
        <v>30</v>
      </c>
      <c r="FC655" s="203" t="s">
        <v>65</v>
      </c>
      <c r="FD655" s="10">
        <f>FB655*1.3</f>
        <v>39</v>
      </c>
      <c r="FE655" s="10"/>
      <c r="FF655" s="268"/>
      <c r="FG655" s="203" t="s">
        <v>112</v>
      </c>
      <c r="FH655" s="422" t="s">
        <v>2061</v>
      </c>
      <c r="FJ655" s="204"/>
      <c r="FK655" s="204">
        <f>VLOOKUP(FH655,$A$681:$F$2272,6,FALSE)</f>
        <v>14</v>
      </c>
      <c r="FL655" s="203" t="s">
        <v>65</v>
      </c>
      <c r="FM655" s="10">
        <f>FK655*1.3</f>
        <v>18.2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VLOOKUP(FQ655,$A$681:$F$2272,6,FALSE)</f>
        <v>54</v>
      </c>
      <c r="FU655" s="203" t="s">
        <v>65</v>
      </c>
      <c r="FV655" s="10">
        <f>FT655*1.3</f>
        <v>70.2</v>
      </c>
      <c r="FW655" s="10"/>
      <c r="FX655" s="268"/>
      <c r="FY655" s="203" t="s">
        <v>112</v>
      </c>
      <c r="FZ655" s="277" t="s">
        <v>2814</v>
      </c>
      <c r="GB655" s="204"/>
      <c r="GC655" s="204">
        <f>VLOOKUP(FZ655,$A$681:$F$2272,6,FALSE)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VLOOKUP(GI655,$A$681:$F$2272,6,FALSE)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2713</v>
      </c>
      <c r="GT655" s="204"/>
      <c r="GU655" s="204">
        <f>VLOOKUP(GR655,$A$681:$F$2272,6,FALSE)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VLOOKUP(HA655,$A$681:$F$2272,6,FALSE)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2088</v>
      </c>
      <c r="HL655" s="204"/>
      <c r="HM655" s="204">
        <f>VLOOKUP(HJ655,$A$681:$F$2272,6,FALSE)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2322</v>
      </c>
      <c r="HU655" s="204"/>
      <c r="HV655" s="204">
        <f>VLOOKUP(HS655,$A$681:$F$2272,6,FALSE)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VLOOKUP(IB655,$A$681:$F$2272,6,FALSE)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2088</v>
      </c>
      <c r="IM655" s="204"/>
      <c r="IN655" s="204">
        <f>VLOOKUP(IK655,$A$681:$F$2272,6,FALSE)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VLOOKUP(IT655,$A$681:$F$2272,6,FALSE)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VLOOKUP(JC655,$A$681:$F$2272,6,FALSE)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VLOOKUP(JL655,$A$681:$F$2272,6,FALSE)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VLOOKUP(JU655,$A$681:$F$2272,6,FALSE)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VLOOKUP(KD655,$A$681:$F$2272,6,FALSE)</f>
        <v>54</v>
      </c>
      <c r="KH655" s="203" t="s">
        <v>65</v>
      </c>
      <c r="KI655" s="10">
        <f>KG655*1.3</f>
        <v>70.2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VLOOKUP(KM655,$A$681:$F$2272,6,FALSE)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VLOOKUP(KV655,$A$681:$F$2272,6,FALSE)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VLOOKUP(LE655,$A$681:$F$2272,6,FALSE)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VLOOKUP(LN655,$A$681:$F$2272,6,FALSE)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VLOOKUP(LW655,$A$681:$F$2272,6,FALSE)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VLOOKUP(MF655,$A$681:$F$2272,6,FALSE)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2652</v>
      </c>
      <c r="MQ655" s="204"/>
      <c r="MR655" s="204">
        <f>VLOOKUP(MO655,$A$681:$F$2272,6,FALSE)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VLOOKUP(MX655,$A$681:$F$2272,6,FALSE)</f>
        <v>54</v>
      </c>
      <c r="NB655" s="203" t="s">
        <v>65</v>
      </c>
      <c r="NC655" s="10">
        <f>NA655*1.3</f>
        <v>70.2</v>
      </c>
      <c r="ND655" s="10"/>
      <c r="NE655" s="268"/>
      <c r="NF655" s="203" t="s">
        <v>112</v>
      </c>
      <c r="NG655" s="277" t="s">
        <v>2061</v>
      </c>
      <c r="NI655" s="204"/>
      <c r="NJ655" s="204">
        <f>VLOOKUP(NG655,$A$681:$F$2272,6,FALSE)</f>
        <v>14</v>
      </c>
      <c r="NK655" s="203" t="s">
        <v>65</v>
      </c>
      <c r="NL655" s="10">
        <f>NJ655*1.3</f>
        <v>18.2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VLOOKUP(NP655,$A$681:$F$2272,6,FALSE)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2520</v>
      </c>
      <c r="OA655" s="204"/>
      <c r="OB655" s="204">
        <f>VLOOKUP(NY655,$A$681:$F$2272,6,FALSE)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VLOOKUP(OH655,$A$681:$F$2272,6,FALSE)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2096</v>
      </c>
      <c r="OS655" s="204"/>
      <c r="OT655" s="204">
        <f>VLOOKUP(OQ655,$A$681:$F$2272,6,FALSE)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2680</v>
      </c>
      <c r="PB655" s="204"/>
      <c r="PC655" s="204">
        <f>VLOOKUP(OZ655,$A$681:$F$2272,6,FALSE)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VLOOKUP(PI655,$A$681:$F$2272,6,FALSE)</f>
        <v>29</v>
      </c>
      <c r="PM655" s="203" t="s">
        <v>65</v>
      </c>
      <c r="PN655" s="10">
        <f>PL655*1.3</f>
        <v>37.700000000000003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VLOOKUP(PR655,$A$681:$F$2272,6,FALSE)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VLOOKUP(QA655,$A$681:$F$2272,6,FALSE)</f>
        <v>54</v>
      </c>
      <c r="QE655" s="203" t="s">
        <v>65</v>
      </c>
      <c r="QF655" s="10">
        <f>QD655*1.3</f>
        <v>70.2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VLOOKUP(QJ655,$A$681:$F$2272,6,FALSE)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VLOOKUP(QS655,$A$681:$F$2272,6,FALSE)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VLOOKUP(RB655,$A$681:$F$2272,6,FALSE)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VLOOKUP(RK655,$A$681:$F$2272,6,FALSE)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VLOOKUP(RT655,$A$681:$F$2272,6,FALSE)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2088</v>
      </c>
      <c r="SE655" s="204"/>
      <c r="SF655" s="204">
        <f>VLOOKUP(SC655,$A$681:$F$2272,6,FALSE)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2088</v>
      </c>
      <c r="SN655" s="204"/>
      <c r="SO655" s="204">
        <f>VLOOKUP(SL655,$A$681:$F$2272,6,FALSE)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VLOOKUP(SU655,$A$681:$F$2272,6,FALSE)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29" t="s">
        <v>2088</v>
      </c>
      <c r="TF655" s="204"/>
      <c r="TG655" s="204">
        <f>VLOOKUP(TD655,$A$681:$F$2272,6,FALSE)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2850</v>
      </c>
      <c r="TO655" s="204"/>
      <c r="TP655" s="204">
        <f>VLOOKUP(TM655,$A$681:$F$2272,6,FALSE)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2062</v>
      </c>
      <c r="TX655" s="204"/>
      <c r="TY655" s="204">
        <f>VLOOKUP(TV655,$A$681:$F$2272,6,FALSE)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VLOOKUP(UE655,$A$681:$F$2272,6,FALSE)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2788</v>
      </c>
      <c r="UP655" s="204"/>
      <c r="UQ655" s="204">
        <f>VLOOKUP(UN655,$A$681:$F$2272,6,FALSE)</f>
        <v>30</v>
      </c>
      <c r="UR655" s="203" t="s">
        <v>65</v>
      </c>
      <c r="US655" s="10">
        <f>UQ655*1.3</f>
        <v>39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VLOOKUP(UW655,$A$681:$F$2272,6,FALSE)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VLOOKUP(VF655,$A$681:$F$2272,6,FALSE)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VLOOKUP(VO655,$A$681:$F$2272,6,FALSE)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VLOOKUP(VX655,$A$681:$F$2272,6,FALSE)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VLOOKUP(WG655,$A$681:$F$2272,6,FALSE)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VLOOKUP(WP655,$A$681:$F$2272,6,FALSE)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VLOOKUP(WY655,$A$681:$F$2272,6,FALSE)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VLOOKUP(XH655,$A$681:$F$2272,6,FALSE)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1193</v>
      </c>
      <c r="XS655" s="204"/>
      <c r="XT655" s="204">
        <f>VLOOKUP(XQ655,$A$681:$F$2272,6,FALSE)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VLOOKUP(XZ655,$A$681:$F$2272,6,FALSE)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VLOOKUP(YI655,$A$681:$F$2272,6,FALSE)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VLOOKUP(YR655,$A$681:$F$2272,6,FALSE)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VLOOKUP(ZA655,$A$681:$F$2272,6,FALSE)</f>
        <v>33</v>
      </c>
      <c r="ZE655" s="203" t="s">
        <v>65</v>
      </c>
      <c r="ZF655" s="10">
        <f>ZD655*1.3</f>
        <v>42.9</v>
      </c>
      <c r="ZH655" s="274"/>
      <c r="ZI655" s="203" t="s">
        <v>112</v>
      </c>
      <c r="ZJ655" s="277" t="s">
        <v>565</v>
      </c>
      <c r="ZL655" s="204"/>
      <c r="ZM655" s="204">
        <f>VLOOKUP(ZJ655,$A$681:$F$2272,6,FALSE)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VLOOKUP(ZS655,$A$681:$F$2272,6,FALSE)</f>
        <v>33</v>
      </c>
      <c r="ZW655" s="203" t="s">
        <v>65</v>
      </c>
      <c r="ZX655" s="10">
        <f>ZV655*1.3</f>
        <v>42.9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VLOOKUP(AAB655,$A$681:$F$2272,6,FALSE)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VLOOKUP(AAK655,$A$681:$F$2272,6,FALSE)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VLOOKUP(AAT655,$A$681:$F$2272,6,FALSE)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VLOOKUP(ABC655,$A$681:$F$2272,6,FALSE)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3152</v>
      </c>
      <c r="ABN655" s="204"/>
      <c r="ABO655" s="204">
        <f>VLOOKUP(ABL655,$A$681:$F$2272,6,FALSE)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VLOOKUP(ABU655,$A$681:$F$2272,6,FALSE)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VLOOKUP(ACD655,$A$681:$F$2272,6,FALSE)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VLOOKUP(ACM655,$A$681:$F$2272,6,FALSE)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VLOOKUP(ACV655,$A$681:$F$2272,6,FALSE)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VLOOKUP(ADE655,$A$681:$F$2272,6,FALSE)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VLOOKUP(ADN655,$A$681:$F$2272,6,FALSE)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VLOOKUP(ADW655,$A$681:$F$2272,6,FALSE)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VLOOKUP(AEF655,$A$681:$F$2272,6,FALSE)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VLOOKUP(AEO655,$A$681:$F$2272,6,FALSE)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VLOOKUP(AEX655,$A$681:$F$2272,6,FALSE)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VLOOKUP(AFG655,$A$681:$F$2272,6,FALSE)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VLOOKUP(AFP655,$A$681:$F$2272,6,FALSE)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VLOOKUP(AFY655,$A$681:$F$2272,6,FALSE)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VLOOKUP(AGH655,$A$681:$F$2272,6,FALSE)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VLOOKUP(AGQ655,$A$681:$F$2272,6,FALSE)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VLOOKUP(AGZ655,$A$681:$F$2272,6,FALSE)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VLOOKUP(AHI655,$A$681:$F$2272,6,FALSE)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VLOOKUP(AHR655,$A$681:$F$2272,6,FALSE)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VLOOKUP(AIA655,$A$681:$F$2272,6,FALSE)</f>
        <v>14</v>
      </c>
      <c r="AIE655" s="203" t="s">
        <v>65</v>
      </c>
      <c r="AIF655" s="10">
        <f>AID655*1.3</f>
        <v>18.2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VLOOKUP(AIJ655,$A$681:$F$2272,6,FALSE)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VLOOKUP(AIS655,$A$681:$F$2272,6,FALSE)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VLOOKUP(AJB655,$A$681:$F$2272,6,FALSE)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VLOOKUP(AJK655,$A$681:$F$2272,6,FALSE)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VLOOKUP(AJT655,$A$681:$F$2272,6,FALSE)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VLOOKUP(AKC655,$A$681:$F$2272,6,FALSE)</f>
        <v>33</v>
      </c>
      <c r="AKG655" s="203" t="s">
        <v>65</v>
      </c>
      <c r="AKH655" s="10">
        <f>AKF655*1.3</f>
        <v>42.9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VLOOKUP(AKL655,$A$681:$F$2272,6,FALSE)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VLOOKUP(AKU655,$A$681:$F$2272,6,FALSE)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VLOOKUP(ALD655,$A$681:$F$2272,6,FALSE)</f>
        <v>14</v>
      </c>
      <c r="ALH655" s="203" t="s">
        <v>65</v>
      </c>
      <c r="ALI655" s="10">
        <f>ALG655*1.3</f>
        <v>18.2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VLOOKUP(ALM655,$A$681:$F$2272,6,FALSE)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VLOOKUP(ALV655,$A$681:$F$2272,6,FALSE)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2736</v>
      </c>
      <c r="AMG655" s="204"/>
      <c r="AMH655" s="204">
        <f>VLOOKUP(AME655,$A$681:$F$2272,6,FALSE)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VLOOKUP(AMN655,$A$681:$F$2272,6,FALSE)</f>
        <v>54</v>
      </c>
      <c r="AMR655" s="203" t="s">
        <v>65</v>
      </c>
      <c r="AMS655" s="10">
        <f>AMQ655*1.3</f>
        <v>70.2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VLOOKUP(AMW655,$A$681:$F$2272,6,FALSE)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VLOOKUP(ANF655,$A$681:$F$2272,6,FALSE)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VLOOKUP(ANO655,$A$681:$F$2272,6,FALSE)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VLOOKUP(ANX655,$A$681:$F$2272,6,FALSE)</f>
        <v>54</v>
      </c>
      <c r="AOB655" s="203" t="s">
        <v>65</v>
      </c>
      <c r="AOC655" s="10">
        <f>AOA655*1.3</f>
        <v>70.2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VLOOKUP(AOG655,$A$681:$F$2272,6,FALSE)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VLOOKUP(AOP655,$A$681:$F$2272,6,FALSE)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2088</v>
      </c>
      <c r="APA655" s="204"/>
      <c r="APB655" s="204">
        <f>VLOOKUP(AOY655,$A$681:$F$2272,6,FALSE)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VLOOKUP(APH655,$A$681:$F$2272,6,FALSE)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VLOOKUP(APQ655,$A$681:$F$2272,6,FALSE)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VLOOKUP(APZ655,$A$681:$F$2272,6,FALSE)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2684</v>
      </c>
      <c r="D656" s="204"/>
      <c r="E656" s="204">
        <f>VLOOKUP(B656,$A$681:$F$2272,6,FALSE)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2788</v>
      </c>
      <c r="M656" s="204"/>
      <c r="N656" s="204">
        <f>VLOOKUP(K656,$A$681:$F$2272,6,FALSE)</f>
        <v>30</v>
      </c>
      <c r="O656" s="203" t="s">
        <v>67</v>
      </c>
      <c r="P656" s="10">
        <f>N656*1.2</f>
        <v>36</v>
      </c>
      <c r="Q656" s="10"/>
      <c r="R656" s="268"/>
      <c r="S656" s="203" t="s">
        <v>113</v>
      </c>
      <c r="T656" s="277" t="s">
        <v>2814</v>
      </c>
      <c r="V656" s="204"/>
      <c r="W656" s="204">
        <f>VLOOKUP(T656,$A$681:$F$2272,6,FALSE)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VLOOKUP(AC656,$A$681:$F$2272,6,FALSE)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VLOOKUP(AL656,$A$681:$F$2272,6,FALSE)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2788</v>
      </c>
      <c r="AW656" s="204"/>
      <c r="AX656" s="204">
        <f>VLOOKUP(AU656,$A$681:$F$2272,6,FALSE)</f>
        <v>30</v>
      </c>
      <c r="AY656" s="203" t="s">
        <v>67</v>
      </c>
      <c r="AZ656" s="10">
        <f>AX656*1.2</f>
        <v>36</v>
      </c>
      <c r="BA656" s="10"/>
      <c r="BB656" s="268"/>
      <c r="BC656" s="203" t="s">
        <v>113</v>
      </c>
      <c r="BD656" s="277" t="s">
        <v>2788</v>
      </c>
      <c r="BF656" s="204"/>
      <c r="BG656" s="204">
        <f>VLOOKUP(BD656,$A$681:$F$2272,6,FALSE)</f>
        <v>30</v>
      </c>
      <c r="BH656" s="203" t="s">
        <v>67</v>
      </c>
      <c r="BI656" s="10">
        <f>BG656*1.2</f>
        <v>36</v>
      </c>
      <c r="BJ656" s="10"/>
      <c r="BK656" s="268"/>
      <c r="BL656" s="203" t="s">
        <v>113</v>
      </c>
      <c r="BM656" s="277" t="s">
        <v>2680</v>
      </c>
      <c r="BO656" s="204"/>
      <c r="BP656" s="204">
        <f>VLOOKUP(BM656,$A$681:$F$2272,6,FALSE)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VLOOKUP(BV656,$A$681:$F$2272,6,FALSE)</f>
        <v>33</v>
      </c>
      <c r="BZ656" s="203" t="s">
        <v>67</v>
      </c>
      <c r="CA656" s="10">
        <f>BY656*1.2</f>
        <v>39.6</v>
      </c>
      <c r="CB656" s="10"/>
      <c r="CC656" s="268"/>
      <c r="CD656" s="203" t="s">
        <v>113</v>
      </c>
      <c r="CE656" s="277" t="s">
        <v>2088</v>
      </c>
      <c r="CG656" s="204"/>
      <c r="CH656" s="204">
        <f>VLOOKUP(CE656,$A$681:$F$2272,6,FALSE)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2680</v>
      </c>
      <c r="CP656" s="204"/>
      <c r="CQ656" s="204">
        <f>VLOOKUP(CN656,$A$681:$F$2272,6,FALSE)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VLOOKUP(CW656,$A$681:$F$2272,6,FALSE)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VLOOKUP(DF656,$A$681:$F$2272,6,FALSE)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VLOOKUP(DO656,$A$681:$F$2272,6,FALSE)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VLOOKUP(DX656,$A$681:$F$2272,6,FALSE)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VLOOKUP(EG656,$A$681:$F$2272,6,FALSE)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2520</v>
      </c>
      <c r="ER656" s="204"/>
      <c r="ES656" s="204">
        <f>VLOOKUP(EP656,$A$681:$F$2272,6,FALSE)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VLOOKUP(EY656,$A$681:$F$2272,6,FALSE)</f>
        <v>33</v>
      </c>
      <c r="FC656" s="203" t="s">
        <v>67</v>
      </c>
      <c r="FD656" s="10">
        <f>FB656*1.2</f>
        <v>39.6</v>
      </c>
      <c r="FE656" s="10"/>
      <c r="FF656" s="268"/>
      <c r="FG656" s="203" t="s">
        <v>113</v>
      </c>
      <c r="FH656" s="422" t="s">
        <v>2788</v>
      </c>
      <c r="FJ656" s="204"/>
      <c r="FK656" s="204">
        <f>VLOOKUP(FH656,$A$681:$F$2272,6,FALSE)</f>
        <v>30</v>
      </c>
      <c r="FL656" s="203" t="s">
        <v>67</v>
      </c>
      <c r="FM656" s="10">
        <f>FK656*1.2</f>
        <v>36</v>
      </c>
      <c r="FN656" s="10"/>
      <c r="FO656" s="268"/>
      <c r="FP656" s="203" t="s">
        <v>113</v>
      </c>
      <c r="FQ656" s="277" t="s">
        <v>2788</v>
      </c>
      <c r="FS656" s="204"/>
      <c r="FT656" s="204">
        <f>VLOOKUP(FQ656,$A$681:$F$2272,6,FALSE)</f>
        <v>30</v>
      </c>
      <c r="FU656" s="203" t="s">
        <v>67</v>
      </c>
      <c r="FV656" s="10">
        <f>FT656*1.2</f>
        <v>36</v>
      </c>
      <c r="FW656" s="10"/>
      <c r="FX656" s="268"/>
      <c r="FY656" s="203" t="s">
        <v>113</v>
      </c>
      <c r="FZ656" s="277" t="s">
        <v>2322</v>
      </c>
      <c r="GB656" s="204"/>
      <c r="GC656" s="204">
        <f>VLOOKUP(FZ656,$A$681:$F$2272,6,FALSE)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VLOOKUP(GI656,$A$681:$F$2272,6,FALSE)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VLOOKUP(GR656,$A$681:$F$2272,6,FALSE)</f>
        <v>33</v>
      </c>
      <c r="GV656" s="203" t="s">
        <v>67</v>
      </c>
      <c r="GW656" s="10">
        <f>GU656*1.2</f>
        <v>39.6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VLOOKUP(HA656,$A$681:$F$2272,6,FALSE)</f>
        <v>33</v>
      </c>
      <c r="HE656" s="203" t="s">
        <v>67</v>
      </c>
      <c r="HF656" s="10">
        <f>HD656*1.2</f>
        <v>39.6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VLOOKUP(HJ656,$A$681:$F$2272,6,FALSE)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VLOOKUP(HS656,$A$681:$F$2272,6,FALSE)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VLOOKUP(IB656,$A$681:$F$2272,6,FALSE)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VLOOKUP(IK656,$A$681:$F$2272,6,FALSE)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VLOOKUP(IT656,$A$681:$F$2272,6,FALSE)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VLOOKUP(JC656,$A$681:$F$2272,6,FALSE)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VLOOKUP(JL656,$A$681:$F$2272,6,FALSE)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2814</v>
      </c>
      <c r="JW656" s="204"/>
      <c r="JX656" s="204">
        <f>VLOOKUP(JU656,$A$681:$F$2272,6,FALSE)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VLOOKUP(KD656,$A$681:$F$2272,6,FALSE)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VLOOKUP(KM656,$A$681:$F$2272,6,FALSE)</f>
        <v>92</v>
      </c>
      <c r="KQ656" s="203" t="s">
        <v>67</v>
      </c>
      <c r="KR656" s="10">
        <f>KP656*1.2</f>
        <v>110.39999999999999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VLOOKUP(KV656,$A$681:$F$2272,6,FALSE)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VLOOKUP(LE656,$A$681:$F$2272,6,FALSE)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VLOOKUP(LN656,$A$681:$F$2272,6,FALSE)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VLOOKUP(LW656,$A$681:$F$2272,6,FALSE)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2788</v>
      </c>
      <c r="MH656" s="204"/>
      <c r="MI656" s="204">
        <f>VLOOKUP(MF656,$A$681:$F$2272,6,FALSE)</f>
        <v>30</v>
      </c>
      <c r="MJ656" s="203" t="s">
        <v>67</v>
      </c>
      <c r="MK656" s="10">
        <f>MI656*1.2</f>
        <v>36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VLOOKUP(MO656,$A$681:$F$2272,6,FALSE)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VLOOKUP(MX656,$A$681:$F$2272,6,FALSE)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VLOOKUP(NG656,$A$681:$F$2272,6,FALSE)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VLOOKUP(NP656,$A$681:$F$2272,6,FALSE)</f>
        <v>33</v>
      </c>
      <c r="NT656" s="203" t="s">
        <v>67</v>
      </c>
      <c r="NU656" s="10">
        <f>NS656*1.2</f>
        <v>39.6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VLOOKUP(NY656,$A$681:$F$2272,6,FALSE)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2586</v>
      </c>
      <c r="OJ656" s="204"/>
      <c r="OK656" s="204">
        <f>VLOOKUP(OH656,$A$681:$F$2272,6,FALSE)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5" t="s">
        <v>2138</v>
      </c>
      <c r="OS656" s="204"/>
      <c r="OT656" s="204">
        <f>VLOOKUP(OQ656,$A$681:$F$2272,6,FALSE)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2814</v>
      </c>
      <c r="PB656" s="204"/>
      <c r="PC656" s="204">
        <f>VLOOKUP(OZ656,$A$681:$F$2272,6,FALSE)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VLOOKUP(PI656,$A$681:$F$2272,6,FALSE)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VLOOKUP(PR656,$A$681:$F$2272,6,FALSE)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VLOOKUP(QA656,$A$681:$F$2272,6,FALSE)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VLOOKUP(QJ656,$A$681:$F$2272,6,FALSE)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VLOOKUP(QS656,$A$681:$F$2272,6,FALSE)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VLOOKUP(RB656,$A$681:$F$2272,6,FALSE)</f>
        <v>14</v>
      </c>
      <c r="RF656" s="203" t="s">
        <v>67</v>
      </c>
      <c r="RG656" s="10">
        <f>RE656*1.2</f>
        <v>16.8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VLOOKUP(RK656,$A$681:$F$2272,6,FALSE)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2788</v>
      </c>
      <c r="RV656" s="204"/>
      <c r="RW656" s="204">
        <f>VLOOKUP(RT656,$A$681:$F$2272,6,FALSE)</f>
        <v>30</v>
      </c>
      <c r="RX656" s="203" t="s">
        <v>67</v>
      </c>
      <c r="RY656" s="10">
        <f>RW656*1.2</f>
        <v>36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VLOOKUP(SC656,$A$681:$F$2272,6,FALSE)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2850</v>
      </c>
      <c r="SN656" s="204"/>
      <c r="SO656" s="204">
        <f>VLOOKUP(SL656,$A$681:$F$2272,6,FALSE)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2079</v>
      </c>
      <c r="SW656" s="204"/>
      <c r="SX656" s="204">
        <f>VLOOKUP(SU656,$A$681:$F$2272,6,FALSE)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VLOOKUP(TD656,$A$681:$F$2272,6,FALSE)</f>
        <v>33</v>
      </c>
      <c r="TH656" s="203" t="s">
        <v>67</v>
      </c>
      <c r="TI656" s="10">
        <f>TG656*1.2</f>
        <v>39.6</v>
      </c>
      <c r="TK656" s="274"/>
      <c r="TL656" s="203" t="s">
        <v>113</v>
      </c>
      <c r="TM656" s="277" t="s">
        <v>1270</v>
      </c>
      <c r="TO656" s="204"/>
      <c r="TP656" s="204">
        <f>VLOOKUP(TM656,$A$681:$F$2272,6,FALSE)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VLOOKUP(TV656,$A$681:$F$2272,6,FALSE)</f>
        <v>92</v>
      </c>
      <c r="TZ656" s="203" t="s">
        <v>67</v>
      </c>
      <c r="UA656" s="10">
        <f>TY656*1.2</f>
        <v>110.39999999999999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VLOOKUP(UE656,$A$681:$F$2272,6,FALSE)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2850</v>
      </c>
      <c r="UP656" s="204"/>
      <c r="UQ656" s="204">
        <f>VLOOKUP(UN656,$A$681:$F$2272,6,FALSE)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2814</v>
      </c>
      <c r="UY656" s="204"/>
      <c r="UZ656" s="204">
        <f>VLOOKUP(UW656,$A$681:$F$2272,6,FALSE)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VLOOKUP(VF656,$A$681:$F$2272,6,FALSE)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VLOOKUP(VO656,$A$681:$F$2272,6,FALSE)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VLOOKUP(VX656,$A$681:$F$2272,6,FALSE)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VLOOKUP(WG656,$A$681:$F$2272,6,FALSE)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VLOOKUP(WP656,$A$681:$F$2272,6,FALSE)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VLOOKUP(WY656,$A$681:$F$2272,6,FALSE)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VLOOKUP(XH656,$A$681:$F$2272,6,FALSE)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VLOOKUP(XQ656,$A$681:$F$2272,6,FALSE)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VLOOKUP(XZ656,$A$681:$F$2272,6,FALSE)</f>
        <v>54</v>
      </c>
      <c r="YD656" s="203" t="s">
        <v>67</v>
      </c>
      <c r="YE656" s="10">
        <f>YC656*1.2</f>
        <v>64.8</v>
      </c>
      <c r="YG656" s="274"/>
      <c r="YH656" s="203" t="s">
        <v>113</v>
      </c>
      <c r="YI656" s="279" t="s">
        <v>183</v>
      </c>
      <c r="YK656" s="204"/>
      <c r="YL656" s="204" t="e">
        <f>VLOOKUP(YI656,$A$681:$F$2272,6,FALSE)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VLOOKUP(YR656,$A$681:$F$2272,6,FALSE)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2788</v>
      </c>
      <c r="ZC656" s="204"/>
      <c r="ZD656" s="204">
        <f>VLOOKUP(ZA656,$A$681:$F$2272,6,FALSE)</f>
        <v>30</v>
      </c>
      <c r="ZE656" s="203" t="s">
        <v>67</v>
      </c>
      <c r="ZF656" s="10">
        <f>ZD656*1.2</f>
        <v>36</v>
      </c>
      <c r="ZH656" s="274"/>
      <c r="ZI656" s="203" t="s">
        <v>113</v>
      </c>
      <c r="ZJ656" s="277" t="s">
        <v>458</v>
      </c>
      <c r="ZL656" s="204"/>
      <c r="ZM656" s="204">
        <f>VLOOKUP(ZJ656,$A$681:$F$2272,6,FALSE)</f>
        <v>54</v>
      </c>
      <c r="ZN656" s="203" t="s">
        <v>67</v>
      </c>
      <c r="ZO656" s="10">
        <f>ZM656*1.2</f>
        <v>64.8</v>
      </c>
      <c r="ZQ656" s="274"/>
      <c r="ZR656" s="203" t="s">
        <v>113</v>
      </c>
      <c r="ZS656" s="277" t="s">
        <v>654</v>
      </c>
      <c r="ZU656" s="204"/>
      <c r="ZV656" s="204">
        <f>VLOOKUP(ZS656,$A$681:$F$2272,6,FALSE)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VLOOKUP(AAB656,$A$681:$F$2272,6,FALSE)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2096</v>
      </c>
      <c r="AAM656" s="204"/>
      <c r="AAN656" s="204">
        <f>VLOOKUP(AAK656,$A$681:$F$2272,6,FALSE)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VLOOKUP(AAT656,$A$681:$F$2272,6,FALSE)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VLOOKUP(ABC656,$A$681:$F$2272,6,FALSE)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2094</v>
      </c>
      <c r="ABN656" s="204"/>
      <c r="ABO656" s="204">
        <f>VLOOKUP(ABL656,$A$681:$F$2272,6,FALSE)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VLOOKUP(ABU656,$A$681:$F$2272,6,FALSE)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VLOOKUP(ACD656,$A$681:$F$2272,6,FALSE)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VLOOKUP(ACM656,$A$681:$F$2272,6,FALSE)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VLOOKUP(ACV656,$A$681:$F$2272,6,FALSE)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VLOOKUP(ADE656,$A$681:$F$2272,6,FALSE)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VLOOKUP(ADN656,$A$681:$F$2272,6,FALSE)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VLOOKUP(ADW656,$A$681:$F$2272,6,FALSE)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VLOOKUP(AEF656,$A$681:$F$2272,6,FALSE)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VLOOKUP(AEO656,$A$681:$F$2272,6,FALSE)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VLOOKUP(AEX656,$A$681:$F$2272,6,FALSE)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VLOOKUP(AFG656,$A$681:$F$2272,6,FALSE)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VLOOKUP(AFP656,$A$681:$F$2272,6,FALSE)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VLOOKUP(AFY656,$A$681:$F$2272,6,FALSE)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VLOOKUP(AGH656,$A$681:$F$2272,6,FALSE)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VLOOKUP(AGQ656,$A$681:$F$2272,6,FALSE)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VLOOKUP(AGZ656,$A$681:$F$2272,6,FALSE)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2850</v>
      </c>
      <c r="AHK656" s="204"/>
      <c r="AHL656" s="204">
        <f>VLOOKUP(AHI656,$A$681:$F$2272,6,FALSE)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2684</v>
      </c>
      <c r="AHT656" s="204"/>
      <c r="AHU656" s="204">
        <f>VLOOKUP(AHR656,$A$681:$F$2272,6,FALSE)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VLOOKUP(AIA656,$A$681:$F$2272,6,FALSE)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VLOOKUP(AIJ656,$A$681:$F$2272,6,FALSE)</f>
        <v>14</v>
      </c>
      <c r="AIN656" s="203" t="s">
        <v>67</v>
      </c>
      <c r="AIO656" s="10">
        <f>AIM656*1.2</f>
        <v>16.8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VLOOKUP(AIS656,$A$681:$F$2272,6,FALSE)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2850</v>
      </c>
      <c r="AJD656" s="204"/>
      <c r="AJE656" s="204">
        <f>VLOOKUP(AJB656,$A$681:$F$2272,6,FALSE)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VLOOKUP(AJK656,$A$681:$F$2272,6,FALSE)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VLOOKUP(AJT656,$A$681:$F$2272,6,FALSE)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2061</v>
      </c>
      <c r="AKE656" s="204"/>
      <c r="AKF656" s="204">
        <f>VLOOKUP(AKC656,$A$681:$F$2272,6,FALSE)</f>
        <v>14</v>
      </c>
      <c r="AKG656" s="203" t="s">
        <v>67</v>
      </c>
      <c r="AKH656" s="10">
        <f>AKF656*1.2</f>
        <v>16.8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VLOOKUP(AKL656,$A$681:$F$2272,6,FALSE)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VLOOKUP(AKU656,$A$681:$F$2272,6,FALSE)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VLOOKUP(ALD656,$A$681:$F$2272,6,FALSE)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2696</v>
      </c>
      <c r="ALO656" s="204"/>
      <c r="ALP656" s="204">
        <f>VLOOKUP(ALM656,$A$681:$F$2272,6,FALSE)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VLOOKUP(ALV656,$A$681:$F$2272,6,FALSE)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VLOOKUP(AME656,$A$681:$F$2272,6,FALSE)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VLOOKUP(AMN656,$A$681:$F$2272,6,FALSE)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VLOOKUP(AMW656,$A$681:$F$2272,6,FALSE)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VLOOKUP(ANF656,$A$681:$F$2272,6,FALSE)</f>
        <v>54</v>
      </c>
      <c r="ANJ656" s="203" t="s">
        <v>67</v>
      </c>
      <c r="ANK656" s="10">
        <f>ANI656*1.2</f>
        <v>64.8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VLOOKUP(ANO656,$A$681:$F$2272,6,FALSE)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VLOOKUP(ANX656,$A$681:$F$2272,6,FALSE)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VLOOKUP(AOG656,$A$681:$F$2272,6,FALSE)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VLOOKUP(AOP656,$A$681:$F$2272,6,FALSE)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VLOOKUP(AOY656,$A$681:$F$2272,6,FALSE)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VLOOKUP(APH656,$A$681:$F$2272,6,FALSE)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VLOOKUP(APQ656,$A$681:$F$2272,6,FALSE)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VLOOKUP(APZ656,$A$681:$F$2272,6,FALSE)</f>
        <v>33</v>
      </c>
      <c r="AQD656" s="203" t="s">
        <v>67</v>
      </c>
      <c r="AQE656" s="10">
        <f>AQC656*1.2</f>
        <v>39.6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VLOOKUP(B657,$A$681:$F$2272,6,FALSE)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2088</v>
      </c>
      <c r="M657" s="204"/>
      <c r="N657" s="204">
        <f>VLOOKUP(K657,$A$681:$F$2272,6,FALSE)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2586</v>
      </c>
      <c r="V657" s="204"/>
      <c r="W657" s="204">
        <f>VLOOKUP(T657,$A$681:$F$2272,6,FALSE)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VLOOKUP(AC657,$A$681:$F$2272,6,FALSE)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2788</v>
      </c>
      <c r="AN657" s="204"/>
      <c r="AO657" s="204">
        <f>VLOOKUP(AL657,$A$681:$F$2272,6,FALSE)</f>
        <v>30</v>
      </c>
      <c r="AP657" s="203" t="s">
        <v>69</v>
      </c>
      <c r="AQ657" s="10">
        <f>AO657*1.1</f>
        <v>33</v>
      </c>
      <c r="AR657" s="10"/>
      <c r="AS657" s="268"/>
      <c r="AT657" s="203" t="s">
        <v>114</v>
      </c>
      <c r="AU657" s="277" t="s">
        <v>2088</v>
      </c>
      <c r="AW657" s="204"/>
      <c r="AX657" s="204">
        <f>VLOOKUP(AU657,$A$681:$F$2272,6,FALSE)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VLOOKUP(BD657,$A$681:$F$2272,6,FALSE)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VLOOKUP(BM657,$A$681:$F$2272,6,FALSE)</f>
        <v>33</v>
      </c>
      <c r="BQ657" s="203" t="s">
        <v>69</v>
      </c>
      <c r="BR657" s="10">
        <f>BP657*1.1</f>
        <v>36.300000000000004</v>
      </c>
      <c r="BS657" s="10"/>
      <c r="BT657" s="268"/>
      <c r="BU657" s="203" t="s">
        <v>114</v>
      </c>
      <c r="BV657" s="277" t="s">
        <v>2788</v>
      </c>
      <c r="BX657" s="204"/>
      <c r="BY657" s="204">
        <f>VLOOKUP(BV657,$A$681:$F$2272,6,FALSE)</f>
        <v>30</v>
      </c>
      <c r="BZ657" s="203" t="s">
        <v>69</v>
      </c>
      <c r="CA657" s="10">
        <f>BY657*1.1</f>
        <v>33</v>
      </c>
      <c r="CB657" s="10"/>
      <c r="CC657" s="268"/>
      <c r="CD657" s="203" t="s">
        <v>114</v>
      </c>
      <c r="CE657" s="277" t="s">
        <v>2520</v>
      </c>
      <c r="CG657" s="204"/>
      <c r="CH657" s="204">
        <f>VLOOKUP(CE657,$A$681:$F$2272,6,FALSE)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VLOOKUP(CN657,$A$681:$F$2272,6,FALSE)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VLOOKUP(CW657,$A$681:$F$2272,6,FALSE)</f>
        <v>92</v>
      </c>
      <c r="DA657" s="203" t="s">
        <v>69</v>
      </c>
      <c r="DB657" s="10">
        <f>CZ657*1.1</f>
        <v>101.2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VLOOKUP(DF657,$A$681:$F$2272,6,FALSE)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VLOOKUP(DO657,$A$681:$F$2272,6,FALSE)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VLOOKUP(DX657,$A$681:$F$2272,6,FALSE)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VLOOKUP(EG657,$A$681:$F$2272,6,FALSE)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2814</v>
      </c>
      <c r="ER657" s="204"/>
      <c r="ES657" s="204">
        <f>VLOOKUP(EP657,$A$681:$F$2272,6,FALSE)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VLOOKUP(EY657,$A$681:$F$2272,6,FALSE)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2088</v>
      </c>
      <c r="FJ657" s="204"/>
      <c r="FK657" s="204">
        <f>VLOOKUP(FH657,$A$681:$F$2272,6,FALSE)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2680</v>
      </c>
      <c r="FS657" s="204"/>
      <c r="FT657" s="204">
        <f>VLOOKUP(FQ657,$A$681:$F$2272,6,FALSE)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VLOOKUP(FZ657,$A$681:$F$2272,6,FALSE)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VLOOKUP(GI657,$A$681:$F$2272,6,FALSE)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2788</v>
      </c>
      <c r="GT657" s="204"/>
      <c r="GU657" s="204">
        <f>VLOOKUP(GR657,$A$681:$F$2272,6,FALSE)</f>
        <v>30</v>
      </c>
      <c r="GV657" s="203" t="s">
        <v>69</v>
      </c>
      <c r="GW657" s="10">
        <f>GU657*1.1</f>
        <v>33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VLOOKUP(HA657,$A$681:$F$2272,6,FALSE)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2680</v>
      </c>
      <c r="HL657" s="204"/>
      <c r="HM657" s="204">
        <f>VLOOKUP(HJ657,$A$681:$F$2272,6,FALSE)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2520</v>
      </c>
      <c r="HU657" s="204"/>
      <c r="HV657" s="204">
        <f>VLOOKUP(HS657,$A$681:$F$2272,6,FALSE)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VLOOKUP(IB657,$A$681:$F$2272,6,FALSE)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VLOOKUP(IK657,$A$681:$F$2272,6,FALSE)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VLOOKUP(IT657,$A$681:$F$2272,6,FALSE)</f>
        <v>92</v>
      </c>
      <c r="IX657" s="203" t="s">
        <v>69</v>
      </c>
      <c r="IY657" s="10">
        <f>IW657*1.1</f>
        <v>101.2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VLOOKUP(JC657,$A$681:$F$2272,6,FALSE)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2586</v>
      </c>
      <c r="JN657" s="204"/>
      <c r="JO657" s="204">
        <f>VLOOKUP(JL657,$A$681:$F$2272,6,FALSE)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VLOOKUP(JU657,$A$681:$F$2272,6,FALSE)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VLOOKUP(KD657,$A$681:$F$2272,6,FALSE)</f>
        <v>33</v>
      </c>
      <c r="KH657" s="203" t="s">
        <v>69</v>
      </c>
      <c r="KI657" s="10">
        <f>KG657*1.1</f>
        <v>36.300000000000004</v>
      </c>
      <c r="KJ657" s="10"/>
      <c r="KK657" s="268"/>
      <c r="KL657" s="203" t="s">
        <v>114</v>
      </c>
      <c r="KM657" s="277" t="s">
        <v>2597</v>
      </c>
      <c r="KO657" s="204"/>
      <c r="KP657" s="204">
        <f>VLOOKUP(KM657,$A$681:$F$2272,6,FALSE)</f>
        <v>13</v>
      </c>
      <c r="KQ657" s="203" t="s">
        <v>69</v>
      </c>
      <c r="KR657" s="10">
        <f>KP657*1.1</f>
        <v>14.3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VLOOKUP(KV657,$A$681:$F$2272,6,FALSE)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VLOOKUP(LE657,$A$681:$F$2272,6,FALSE)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VLOOKUP(LN657,$A$681:$F$2272,6,FALSE)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2788</v>
      </c>
      <c r="LY657" s="204"/>
      <c r="LZ657" s="204">
        <f>VLOOKUP(LW657,$A$681:$F$2272,6,FALSE)</f>
        <v>30</v>
      </c>
      <c r="MA657" s="203" t="s">
        <v>69</v>
      </c>
      <c r="MB657" s="10">
        <f>LZ657*1.1</f>
        <v>33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VLOOKUP(MF657,$A$681:$F$2272,6,FALSE)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2070</v>
      </c>
      <c r="MQ657" s="204"/>
      <c r="MR657" s="204">
        <f>VLOOKUP(MO657,$A$681:$F$2272,6,FALSE)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VLOOKUP(MX657,$A$681:$F$2272,6,FALSE)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VLOOKUP(NG657,$A$681:$F$2272,6,FALSE)</f>
        <v>33</v>
      </c>
      <c r="NK657" s="203" t="s">
        <v>69</v>
      </c>
      <c r="NL657" s="10">
        <f>NJ657*1.1</f>
        <v>36.300000000000004</v>
      </c>
      <c r="NM657" s="10"/>
      <c r="NN657" s="268"/>
      <c r="NO657" s="203" t="s">
        <v>114</v>
      </c>
      <c r="NP657" s="425" t="s">
        <v>2788</v>
      </c>
      <c r="NR657" s="204"/>
      <c r="NS657" s="204">
        <f>VLOOKUP(NP657,$A$681:$F$2272,6,FALSE)</f>
        <v>30</v>
      </c>
      <c r="NT657" s="203" t="s">
        <v>69</v>
      </c>
      <c r="NU657" s="10">
        <f>NS657*1.1</f>
        <v>33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VLOOKUP(NY657,$A$681:$F$2272,6,FALSE)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2788</v>
      </c>
      <c r="OJ657" s="204"/>
      <c r="OK657" s="204">
        <f>VLOOKUP(OH657,$A$681:$F$2272,6,FALSE)</f>
        <v>30</v>
      </c>
      <c r="OL657" s="203" t="s">
        <v>69</v>
      </c>
      <c r="OM657" s="10">
        <f>OK657*1.1</f>
        <v>33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VLOOKUP(OQ657,$A$681:$F$2272,6,FALSE)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VLOOKUP(OZ657,$A$681:$F$2272,6,FALSE)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VLOOKUP(PI657,$A$681:$F$2272,6,FALSE)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VLOOKUP(PR657,$A$681:$F$2272,6,FALSE)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2696</v>
      </c>
      <c r="QC657" s="204"/>
      <c r="QD657" s="204">
        <f>VLOOKUP(QA657,$A$681:$F$2272,6,FALSE)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VLOOKUP(QJ657,$A$681:$F$2272,6,FALSE)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VLOOKUP(QS657,$A$681:$F$2272,6,FALSE)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2586</v>
      </c>
      <c r="RD657" s="204"/>
      <c r="RE657" s="204">
        <f>VLOOKUP(RB657,$A$681:$F$2272,6,FALSE)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VLOOKUP(RK657,$A$681:$F$2272,6,FALSE)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VLOOKUP(RT657,$A$681:$F$2272,6,FALSE)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2814</v>
      </c>
      <c r="SE657" s="204"/>
      <c r="SF657" s="204">
        <f>VLOOKUP(SC657,$A$681:$F$2272,6,FALSE)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VLOOKUP(SL657,$A$681:$F$2272,6,FALSE)</f>
        <v>33</v>
      </c>
      <c r="SP657" s="203" t="s">
        <v>69</v>
      </c>
      <c r="SQ657" s="10">
        <f>SO657*1.1</f>
        <v>36.300000000000004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VLOOKUP(SU657,$A$681:$F$2272,6,FALSE)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VLOOKUP(TD657,$A$681:$F$2272,6,FALSE)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VLOOKUP(TM657,$A$681:$F$2272,6,FALSE)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2684</v>
      </c>
      <c r="TX657" s="204"/>
      <c r="TY657" s="204">
        <f>VLOOKUP(TV657,$A$681:$F$2272,6,FALSE)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VLOOKUP(UE657,$A$681:$F$2272,6,FALSE)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2652</v>
      </c>
      <c r="UP657" s="204"/>
      <c r="UQ657" s="204">
        <f>VLOOKUP(UN657,$A$681:$F$2272,6,FALSE)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VLOOKUP(UW657,$A$681:$F$2272,6,FALSE)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VLOOKUP(VF657,$A$681:$F$2272,6,FALSE)</f>
        <v>33</v>
      </c>
      <c r="VJ657" s="203" t="s">
        <v>69</v>
      </c>
      <c r="VK657" s="10">
        <f>VI657*1.1</f>
        <v>36.300000000000004</v>
      </c>
      <c r="VL657" s="10"/>
      <c r="VM657" s="274"/>
      <c r="VN657" s="203" t="s">
        <v>114</v>
      </c>
      <c r="VO657" s="277" t="s">
        <v>2318</v>
      </c>
      <c r="VQ657" s="204"/>
      <c r="VR657" s="204">
        <f>VLOOKUP(VO657,$A$681:$F$2272,6,FALSE)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VLOOKUP(VX657,$A$681:$F$2272,6,FALSE)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VLOOKUP(WG657,$A$681:$F$2272,6,FALSE)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VLOOKUP(WP657,$A$681:$F$2272,6,FALSE)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VLOOKUP(WY657,$A$681:$F$2272,6,FALSE)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VLOOKUP(XH657,$A$681:$F$2272,6,FALSE)</f>
        <v>14</v>
      </c>
      <c r="XL657" s="203" t="s">
        <v>69</v>
      </c>
      <c r="XM657" s="10">
        <f>XK657*1.1</f>
        <v>15.400000000000002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VLOOKUP(XQ657,$A$681:$F$2272,6,FALSE)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VLOOKUP(XZ657,$A$681:$F$2272,6,FALSE)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VLOOKUP(YI657,$A$681:$F$2272,6,FALSE)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VLOOKUP(YR657,$A$681:$F$2272,6,FALSE)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2684</v>
      </c>
      <c r="ZC657" s="204"/>
      <c r="ZD657" s="204">
        <f>VLOOKUP(ZA657,$A$681:$F$2272,6,FALSE)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VLOOKUP(ZJ657,$A$681:$F$2272,6,FALSE)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VLOOKUP(ZS657,$A$681:$F$2272,6,FALSE)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2070</v>
      </c>
      <c r="AAD657" s="204"/>
      <c r="AAE657" s="204">
        <f>VLOOKUP(AAB657,$A$681:$F$2272,6,FALSE)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VLOOKUP(AAK657,$A$681:$F$2272,6,FALSE)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VLOOKUP(AAT657,$A$681:$F$2272,6,FALSE)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VLOOKUP(ABC657,$A$681:$F$2272,6,FALSE)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2723</v>
      </c>
      <c r="ABN657" s="204"/>
      <c r="ABO657" s="204">
        <f>VLOOKUP(ABL657,$A$681:$F$2272,6,FALSE)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VLOOKUP(ABU657,$A$681:$F$2272,6,FALSE)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VLOOKUP(ACD657,$A$681:$F$2272,6,FALSE)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VLOOKUP(ACM657,$A$681:$F$2272,6,FALSE)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VLOOKUP(ACV657,$A$681:$F$2272,6,FALSE)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VLOOKUP(ADE657,$A$681:$F$2272,6,FALSE)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VLOOKUP(ADN657,$A$681:$F$2272,6,FALSE)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VLOOKUP(ADW657,$A$681:$F$2272,6,FALSE)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VLOOKUP(AEF657,$A$681:$F$2272,6,FALSE)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VLOOKUP(AEO657,$A$681:$F$2272,6,FALSE)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VLOOKUP(AEX657,$A$681:$F$2272,6,FALSE)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VLOOKUP(AFG657,$A$681:$F$2272,6,FALSE)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VLOOKUP(AFP657,$A$681:$F$2272,6,FALSE)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VLOOKUP(AFY657,$A$681:$F$2272,6,FALSE)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VLOOKUP(AGH657,$A$681:$F$2272,6,FALSE)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VLOOKUP(AGQ657,$A$681:$F$2272,6,FALSE)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2520</v>
      </c>
      <c r="AHB657" s="204"/>
      <c r="AHC657" s="204">
        <f>VLOOKUP(AGZ657,$A$681:$F$2272,6,FALSE)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2070</v>
      </c>
      <c r="AHK657" s="204"/>
      <c r="AHL657" s="204">
        <f>VLOOKUP(AHI657,$A$681:$F$2272,6,FALSE)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2850</v>
      </c>
      <c r="AHT657" s="204"/>
      <c r="AHU657" s="204">
        <f>VLOOKUP(AHR657,$A$681:$F$2272,6,FALSE)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2061</v>
      </c>
      <c r="AIC657" s="204"/>
      <c r="AID657" s="204">
        <f>VLOOKUP(AIA657,$A$681:$F$2272,6,FALSE)</f>
        <v>14</v>
      </c>
      <c r="AIE657" s="203" t="s">
        <v>69</v>
      </c>
      <c r="AIF657" s="10">
        <f>AID657*1.1</f>
        <v>15.400000000000002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VLOOKUP(AIJ657,$A$681:$F$2272,6,FALSE)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VLOOKUP(AIS657,$A$681:$F$2272,6,FALSE)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3152</v>
      </c>
      <c r="AJD657" s="204"/>
      <c r="AJE657" s="204">
        <f>VLOOKUP(AJB657,$A$681:$F$2272,6,FALSE)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VLOOKUP(AJK657,$A$681:$F$2272,6,FALSE)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VLOOKUP(AJT657,$A$681:$F$2272,6,FALSE)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VLOOKUP(AKC657,$A$681:$F$2272,6,FALSE)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2088</v>
      </c>
      <c r="AKN657" s="204"/>
      <c r="AKO657" s="204">
        <f>VLOOKUP(AKL657,$A$681:$F$2272,6,FALSE)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VLOOKUP(AKU657,$A$681:$F$2272,6,FALSE)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2070</v>
      </c>
      <c r="ALF657" s="204"/>
      <c r="ALG657" s="204">
        <f>VLOOKUP(ALD657,$A$681:$F$2272,6,FALSE)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VLOOKUP(ALM657,$A$681:$F$2272,6,FALSE)</f>
        <v>33</v>
      </c>
      <c r="ALQ657" s="203" t="s">
        <v>69</v>
      </c>
      <c r="ALR657" s="10">
        <f>ALP657*1.1</f>
        <v>36.300000000000004</v>
      </c>
      <c r="ALS657" s="10"/>
      <c r="ALT657" s="274"/>
      <c r="ALU657" s="203" t="s">
        <v>114</v>
      </c>
      <c r="ALV657" s="277" t="s">
        <v>2696</v>
      </c>
      <c r="ALX657" s="204"/>
      <c r="ALY657" s="204">
        <f>VLOOKUP(ALV657,$A$681:$F$2272,6,FALSE)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VLOOKUP(AME657,$A$681:$F$2272,6,FALSE)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VLOOKUP(AMN657,$A$681:$F$2272,6,FALSE)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VLOOKUP(AMW657,$A$681:$F$2272,6,FALSE)</f>
        <v>33</v>
      </c>
      <c r="ANA657" s="203" t="s">
        <v>69</v>
      </c>
      <c r="ANB657" s="10">
        <f>AMZ657*1.1</f>
        <v>36.300000000000004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VLOOKUP(ANF657,$A$681:$F$2272,6,FALSE)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VLOOKUP(ANO657,$A$681:$F$2272,6,FALSE)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VLOOKUP(ANX657,$A$681:$F$2272,6,FALSE)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VLOOKUP(AOG657,$A$681:$F$2272,6,FALSE)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VLOOKUP(AOP657,$A$681:$F$2272,6,FALSE)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VLOOKUP(AOY657,$A$681:$F$2272,6,FALSE)</f>
        <v>14</v>
      </c>
      <c r="APC657" s="203" t="s">
        <v>69</v>
      </c>
      <c r="APD657" s="10">
        <f>APB657*1.1</f>
        <v>15.400000000000002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VLOOKUP(APH657,$A$681:$F$2272,6,FALSE)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VLOOKUP(APQ657,$A$681:$F$2272,6,FALSE)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VLOOKUP(APZ657,$A$681:$F$2272,6,FALSE)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137.19999999999999</v>
      </c>
      <c r="I658" s="268"/>
      <c r="J658" s="203"/>
      <c r="K658" s="415"/>
      <c r="M658" s="203"/>
      <c r="N658" s="203"/>
      <c r="O658" s="203"/>
      <c r="P658" s="10"/>
      <c r="Q658" s="10">
        <f>SUM(P653:P657)</f>
        <v>83.299999999999983</v>
      </c>
      <c r="R658" s="268"/>
      <c r="S658" s="203"/>
      <c r="T658" s="265"/>
      <c r="V658" s="203"/>
      <c r="W658" s="203"/>
      <c r="X658" s="203"/>
      <c r="Y658" s="10"/>
      <c r="Z658" s="10">
        <f>SUM(Y653:Y657)</f>
        <v>56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125.8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145.9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142.1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166.2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211.3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356.8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65.8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234.6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215.3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211.2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70.400000000000006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165.5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45.5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99.6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167.79999999999998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193.9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132.4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159.30000000000001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96.6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137.1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304.5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73.5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66.2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222.8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429.3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21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26.3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447.09999999999997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242.2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121.29999999999998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55.900000000000006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334.8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88.3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42.5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185.2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227.79999999999998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71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469.3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23.2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112.60000000000001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149.19999999999999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105.10000000000001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165.60000000000002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257.2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250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136.30000000000001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402.7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192.10000000000002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99.7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272.60000000000002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190.29999999999998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122.3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92.9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63.800000000000004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133.80000000000001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48.6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282.89999999999998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182.5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84.699999999999989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88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343.6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155.4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76.100000000000009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221.7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100.7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160.19999999999999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89.6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57.5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327.60000000000002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185.8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410.70000000000005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223.20000000000002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128.70000000000002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33.799999999999997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74.2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82.7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263.2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125.2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219.3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448.20000000000005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246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367.5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102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181.6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148.70000000000002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306.10000000000008</v>
      </c>
      <c r="AQG658" s="274"/>
    </row>
    <row r="659" spans="1:1125" s="14" customFormat="1" ht="15">
      <c r="A659" s="203" t="s">
        <v>115</v>
      </c>
      <c r="B659" s="277" t="s">
        <v>2847</v>
      </c>
      <c r="D659" s="284">
        <f>IF(C659="Kopman",2.1,1)</f>
        <v>1</v>
      </c>
      <c r="E659" s="204">
        <f>VLOOKUP(B659,$A$681:$F$2272,6,FALSE)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2847</v>
      </c>
      <c r="M659" s="284">
        <f>IF(L659="Kopman",2.1,1)</f>
        <v>1</v>
      </c>
      <c r="N659" s="204">
        <f>VLOOKUP(K659,$A$681:$F$2272,6,FALSE)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7" t="s">
        <v>2642</v>
      </c>
      <c r="U659" s="416" t="s">
        <v>2023</v>
      </c>
      <c r="V659" s="284">
        <f>IF(U659="Kopman",2.1,1)</f>
        <v>2.1</v>
      </c>
      <c r="W659" s="204">
        <f>VLOOKUP(T659,$A$681:$F$2272,6,FALSE)</f>
        <v>56</v>
      </c>
      <c r="X659" s="203" t="s">
        <v>61</v>
      </c>
      <c r="Y659" s="10">
        <f>W659*1.5*V659</f>
        <v>176.4</v>
      </c>
      <c r="Z659" s="10"/>
      <c r="AA659" s="268"/>
      <c r="AB659" s="203" t="s">
        <v>115</v>
      </c>
      <c r="AC659" s="277" t="s">
        <v>2065</v>
      </c>
      <c r="AE659" s="284">
        <f>IF(AD659="Kopman",2.1,1)</f>
        <v>1</v>
      </c>
      <c r="AF659" s="204">
        <f>VLOOKUP(AC659,$A$681:$F$2272,6,FALSE)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2847</v>
      </c>
      <c r="AN659" s="284">
        <f>IF(AM659="Kopman",2.1,1)</f>
        <v>1</v>
      </c>
      <c r="AO659" s="204">
        <f>VLOOKUP(AL659,$A$681:$F$2272,6,FALSE)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2847</v>
      </c>
      <c r="AW659" s="284">
        <f>IF(AV659="Kopman",2.1,1)</f>
        <v>1</v>
      </c>
      <c r="AX659" s="204">
        <f>VLOOKUP(AU659,$A$681:$F$2272,6,FALSE)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2847</v>
      </c>
      <c r="BF659" s="284">
        <f>IF(BE659="Kopman",2.1,1)</f>
        <v>1</v>
      </c>
      <c r="BG659" s="204">
        <f>VLOOKUP(BD659,$A$681:$F$2272,6,FALSE)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2642</v>
      </c>
      <c r="BO659" s="284">
        <f>IF(BN659="Kopman",2.1,1)</f>
        <v>1</v>
      </c>
      <c r="BP659" s="204">
        <f>VLOOKUP(BM659,$A$681:$F$2272,6,FALSE)</f>
        <v>56</v>
      </c>
      <c r="BQ659" s="203" t="s">
        <v>61</v>
      </c>
      <c r="BR659" s="10">
        <f>BP659*1.5*BO659</f>
        <v>84</v>
      </c>
      <c r="BS659" s="10"/>
      <c r="BT659" s="268"/>
      <c r="BU659" s="203" t="s">
        <v>115</v>
      </c>
      <c r="BV659" s="277" t="s">
        <v>2642</v>
      </c>
      <c r="BX659" s="284">
        <f>IF(BW659="Kopman",2.1,1)</f>
        <v>1</v>
      </c>
      <c r="BY659" s="204">
        <f>VLOOKUP(BV659,$A$681:$F$2272,6,FALSE)</f>
        <v>56</v>
      </c>
      <c r="BZ659" s="203" t="s">
        <v>61</v>
      </c>
      <c r="CA659" s="10">
        <f>BY659*1.5*BX659</f>
        <v>84</v>
      </c>
      <c r="CB659" s="10"/>
      <c r="CC659" s="268"/>
      <c r="CD659" s="203" t="s">
        <v>115</v>
      </c>
      <c r="CE659" s="277" t="s">
        <v>2554</v>
      </c>
      <c r="CG659" s="284">
        <f>IF(CF659="Kopman",2.1,1)</f>
        <v>1</v>
      </c>
      <c r="CH659" s="204">
        <f>VLOOKUP(CE659,$A$681:$F$2272,6,FALSE)</f>
        <v>22</v>
      </c>
      <c r="CI659" s="203" t="s">
        <v>61</v>
      </c>
      <c r="CJ659" s="10">
        <f>CH659*1.5*CG659</f>
        <v>33</v>
      </c>
      <c r="CK659" s="10"/>
      <c r="CL659" s="268"/>
      <c r="CM659" s="203" t="s">
        <v>115</v>
      </c>
      <c r="CN659" s="277" t="s">
        <v>2847</v>
      </c>
      <c r="CP659" s="284">
        <f>IF(CO659="Kopman",2.1,1)</f>
        <v>1</v>
      </c>
      <c r="CQ659" s="204">
        <f>VLOOKUP(CN659,$A$681:$F$2272,6,FALSE)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2065</v>
      </c>
      <c r="CY659" s="284">
        <f>IF(CX659="Kopman",2.1,1)</f>
        <v>1</v>
      </c>
      <c r="CZ659" s="204">
        <f>VLOOKUP(CW659,$A$681:$F$2272,6,FALSE)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2847</v>
      </c>
      <c r="DH659" s="284">
        <f>IF(DG659="Kopman",2.1,1)</f>
        <v>1</v>
      </c>
      <c r="DI659" s="204">
        <f>VLOOKUP(DF659,$A$681:$F$2272,6,FALSE)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VLOOKUP(DO659,$A$681:$F$2272,6,FALSE)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VLOOKUP(DX659,$A$681:$F$2272,6,FALSE)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2642</v>
      </c>
      <c r="EI659" s="284">
        <f>IF(EH659="Kopman",2.1,1)</f>
        <v>1</v>
      </c>
      <c r="EJ659" s="204">
        <f>VLOOKUP(EG659,$A$681:$F$2272,6,FALSE)</f>
        <v>56</v>
      </c>
      <c r="EK659" s="203" t="s">
        <v>61</v>
      </c>
      <c r="EL659" s="10">
        <f>EJ659*1.5*EI659</f>
        <v>84</v>
      </c>
      <c r="EM659" s="10"/>
      <c r="EN659" s="268"/>
      <c r="EO659" s="203" t="s">
        <v>115</v>
      </c>
      <c r="EP659" s="277" t="s">
        <v>2075</v>
      </c>
      <c r="ER659" s="284">
        <f>IF(EQ659="Kopman",2.1,1)</f>
        <v>1</v>
      </c>
      <c r="ES659" s="204">
        <f>VLOOKUP(EP659,$A$681:$F$2272,6,FALSE)</f>
        <v>8</v>
      </c>
      <c r="ET659" s="203" t="s">
        <v>61</v>
      </c>
      <c r="EU659" s="10">
        <f>ES659*1.5*ER659</f>
        <v>12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VLOOKUP(EY660,$A$681:$F$2272,6,FALSE)</f>
        <v>56</v>
      </c>
      <c r="FC659" s="203" t="s">
        <v>61</v>
      </c>
      <c r="FD659" s="10">
        <f>FB659*1.5*FA659</f>
        <v>84</v>
      </c>
      <c r="FE659" s="10"/>
      <c r="FF659" s="268"/>
      <c r="FG659" s="203" t="s">
        <v>115</v>
      </c>
      <c r="FH659" s="422" t="s">
        <v>2092</v>
      </c>
      <c r="FJ659" s="284">
        <f>IF(FI659="Kopman",2.1,1)</f>
        <v>1</v>
      </c>
      <c r="FK659" s="204">
        <f>VLOOKUP(FH659,$A$681:$F$2272,6,FALSE)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2518</v>
      </c>
      <c r="FS659" s="284">
        <f>IF(FR659="Kopman",2.1,1)</f>
        <v>1</v>
      </c>
      <c r="FT659" s="204">
        <f>VLOOKUP(FQ659,$A$681:$F$2272,6,FALSE)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2642</v>
      </c>
      <c r="GB659" s="284">
        <f>IF(GA659="Kopman",2.1,1)</f>
        <v>1</v>
      </c>
      <c r="GC659" s="204">
        <f>VLOOKUP(FZ659,$A$681:$F$2272,6,FALSE)</f>
        <v>56</v>
      </c>
      <c r="GD659" s="203" t="s">
        <v>61</v>
      </c>
      <c r="GE659" s="10">
        <f>GC659*1.5*GB659</f>
        <v>84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VLOOKUP(GI659,$A$681:$F$2272,6,FALSE)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2642</v>
      </c>
      <c r="GT659" s="284">
        <f>IF(GS659="Kopman",2.1,1)</f>
        <v>1</v>
      </c>
      <c r="GU659" s="204">
        <f>VLOOKUP(GR659,$A$681:$F$2272,6,FALSE)</f>
        <v>56</v>
      </c>
      <c r="GV659" s="203" t="s">
        <v>61</v>
      </c>
      <c r="GW659" s="10">
        <f>GU659*1.5</f>
        <v>84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VLOOKUP(HA659,$A$681:$F$2272,6,FALSE)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2642</v>
      </c>
      <c r="HL659" s="284">
        <f>IF(HK659="Kopman",2.1,1)</f>
        <v>1</v>
      </c>
      <c r="HM659" s="204">
        <f>VLOOKUP(HJ659,$A$681:$F$2272,6,FALSE)</f>
        <v>56</v>
      </c>
      <c r="HN659" s="203" t="s">
        <v>61</v>
      </c>
      <c r="HO659" s="10">
        <f>HM659*1.5</f>
        <v>84</v>
      </c>
      <c r="HP659" s="10"/>
      <c r="HQ659" s="268"/>
      <c r="HR659" s="203" t="s">
        <v>115</v>
      </c>
      <c r="HS659" s="277" t="s">
        <v>2642</v>
      </c>
      <c r="HU659" s="284">
        <f>IF(HT659="Kopman",2.1,1)</f>
        <v>1</v>
      </c>
      <c r="HV659" s="204">
        <f>VLOOKUP(HS659,$A$681:$F$2272,6,FALSE)</f>
        <v>56</v>
      </c>
      <c r="HW659" s="203" t="s">
        <v>61</v>
      </c>
      <c r="HX659" s="10">
        <f>HV659*1.5*HU659</f>
        <v>84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VLOOKUP(IB659,$A$681:$F$2272,6,FALSE)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2316</v>
      </c>
      <c r="IM659" s="284">
        <f>IF(IL659="Kopman",2.1,1)</f>
        <v>1</v>
      </c>
      <c r="IN659" s="204">
        <f>VLOOKUP(IK659,$A$681:$F$2272,6,FALSE)</f>
        <v>14</v>
      </c>
      <c r="IO659" s="203" t="s">
        <v>61</v>
      </c>
      <c r="IP659" s="10">
        <f>IN659*1.5*IM659</f>
        <v>21</v>
      </c>
      <c r="IQ659" s="10"/>
      <c r="IR659" s="268"/>
      <c r="IS659" s="203" t="s">
        <v>115</v>
      </c>
      <c r="IT659" s="277" t="s">
        <v>2518</v>
      </c>
      <c r="IV659" s="284">
        <f>IF(IU659="Kopman",2.1,1)</f>
        <v>1</v>
      </c>
      <c r="IW659" s="204">
        <f>VLOOKUP(IT659,$A$681:$F$2272,6,FALSE)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2092</v>
      </c>
      <c r="JE659" s="284">
        <f>IF(JD659="Kopman",2.1,1)</f>
        <v>1</v>
      </c>
      <c r="JF659" s="204">
        <f>VLOOKUP(JC659,$A$681:$F$2272,6,FALSE)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VLOOKUP(JL659,$A$681:$F$2272,6,FALSE)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VLOOKUP(JU659,$A$681:$F$2272,6,FALSE)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2065</v>
      </c>
      <c r="KF659" s="284">
        <f>IF(KE659="Kopman",2.1,1)</f>
        <v>1</v>
      </c>
      <c r="KG659" s="204">
        <f>VLOOKUP(KD659,$A$681:$F$2272,6,FALSE)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2343</v>
      </c>
      <c r="KO659" s="284">
        <f>IF(KN659="Kopman",2.1,1)</f>
        <v>1</v>
      </c>
      <c r="KP659" s="204">
        <f>VLOOKUP(KM659,$A$681:$F$2272,6,FALSE)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2847</v>
      </c>
      <c r="KX659" s="284">
        <f>IF(KW659="Kopman",2.1,1)</f>
        <v>1</v>
      </c>
      <c r="KY659" s="204">
        <f>VLOOKUP(KV659,$A$681:$F$2272,6,FALSE)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VLOOKUP(LE659,$A$681:$F$2272,6,FALSE)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2092</v>
      </c>
      <c r="LP659" s="284">
        <f>IF(LO659="Kopman",2.1,1)</f>
        <v>1</v>
      </c>
      <c r="LQ659" s="204">
        <f>VLOOKUP(LN659,$A$681:$F$2272,6,FALSE)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2075</v>
      </c>
      <c r="LY659" s="284">
        <f>IF(LX659="Kopman",2.1,1)</f>
        <v>1</v>
      </c>
      <c r="LZ659" s="204">
        <f>VLOOKUP(LW659,$A$681:$F$2272,6,FALSE)</f>
        <v>8</v>
      </c>
      <c r="MA659" s="203" t="s">
        <v>61</v>
      </c>
      <c r="MB659" s="10">
        <f>LZ659*1.5*LY659</f>
        <v>12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VLOOKUP(MF659,$A$681:$F$2272,6,FALSE)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2642</v>
      </c>
      <c r="MQ659" s="284">
        <f>IF(MP659="Kopman",2.1,1)</f>
        <v>1</v>
      </c>
      <c r="MR659" s="204">
        <f>VLOOKUP(MO659,$A$681:$F$2272,6,FALSE)</f>
        <v>56</v>
      </c>
      <c r="MS659" s="203" t="s">
        <v>61</v>
      </c>
      <c r="MT659" s="10">
        <f>MR659*1.5*MQ659</f>
        <v>84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VLOOKUP(MX659,$A$681:$F$2272,6,FALSE)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VLOOKUP(NG659,$A$681:$F$2272,6,FALSE)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VLOOKUP(NP659,$A$681:$F$2272,6,FALSE)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2823</v>
      </c>
      <c r="OA659" s="284">
        <f>IF(NZ659="Kopman",2.1,1)</f>
        <v>1</v>
      </c>
      <c r="OB659" s="204">
        <f>VLOOKUP(NY659,$A$681:$F$2272,6,FALSE)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VLOOKUP(OH659,$A$681:$F$2272,6,FALSE)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VLOOKUP(OQ659,$A$681:$F$2272,6,FALSE)</f>
        <v>1</v>
      </c>
      <c r="OU659" s="203" t="s">
        <v>61</v>
      </c>
      <c r="OV659" s="10">
        <f>OT659*1.5*OS659</f>
        <v>1.5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VLOOKUP(OZ659,$A$681:$F$2272,6,FALSE)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2642</v>
      </c>
      <c r="PK659" s="284">
        <f>IF(PJ659="Kopman",2.1,1)</f>
        <v>1</v>
      </c>
      <c r="PL659" s="204">
        <f>VLOOKUP(PI659,$A$681:$F$2272,6,FALSE)</f>
        <v>56</v>
      </c>
      <c r="PM659" s="203" t="s">
        <v>61</v>
      </c>
      <c r="PN659" s="10">
        <f>PL659*1.5*PK659</f>
        <v>84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VLOOKUP(PR659,$A$681:$F$2272,6,FALSE)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3151</v>
      </c>
      <c r="QC659" s="284">
        <f>IF(QB659="Kopman",2.1,1)</f>
        <v>1</v>
      </c>
      <c r="QD659" s="204">
        <f>VLOOKUP(QA659,$A$681:$F$2272,6,FALSE)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2847</v>
      </c>
      <c r="QL659" s="284">
        <f>IF(QK659="Kopman",2.1,1)</f>
        <v>1</v>
      </c>
      <c r="QM659" s="204">
        <f>VLOOKUP(QJ659,$A$681:$F$2272,6,FALSE)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2075</v>
      </c>
      <c r="QU659" s="284">
        <f>IF(QT659="Kopman",2.1,1)</f>
        <v>1</v>
      </c>
      <c r="QV659" s="204">
        <f>VLOOKUP(QS659,$A$681:$F$2272,6,FALSE)</f>
        <v>8</v>
      </c>
      <c r="QW659" s="203" t="s">
        <v>61</v>
      </c>
      <c r="QX659" s="10">
        <f>QV659*1.5*QU659</f>
        <v>12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VLOOKUP(RB659,$A$681:$F$2272,6,FALSE)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VLOOKUP(RK659,$A$681:$F$2272,6,FALSE)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VLOOKUP(RT659,$A$681:$F$2272,6,FALSE)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VLOOKUP(SC659,$A$681:$F$2272,6,FALSE)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2642</v>
      </c>
      <c r="SN659" s="284">
        <f>IF(SM659="Kopman",2.1,1)</f>
        <v>1</v>
      </c>
      <c r="SO659" s="204">
        <f>VLOOKUP(SL659,$A$681:$F$2272,6,FALSE)</f>
        <v>56</v>
      </c>
      <c r="SP659" s="203" t="s">
        <v>61</v>
      </c>
      <c r="SQ659" s="10">
        <f>SO659*1.5*SN659</f>
        <v>84</v>
      </c>
      <c r="SR659" s="10"/>
      <c r="SS659" s="274"/>
      <c r="ST659" s="203" t="s">
        <v>115</v>
      </c>
      <c r="SU659" s="277" t="s">
        <v>2732</v>
      </c>
      <c r="SW659" s="284">
        <f>IF(SV659="Kopman",2.1,1)</f>
        <v>1</v>
      </c>
      <c r="SX659" s="204">
        <f>VLOOKUP(SU659,$A$681:$F$2272,6,FALSE)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29" t="s">
        <v>2344</v>
      </c>
      <c r="TF659" s="284">
        <f>IF(TE659="Kopman",2.1,1)</f>
        <v>1</v>
      </c>
      <c r="TG659" s="204">
        <f>VLOOKUP(TD659,$A$681:$F$2272,6,FALSE)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VLOOKUP(TM659,$A$681:$F$2272,6,FALSE)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2642</v>
      </c>
      <c r="TX659" s="284">
        <f>IF(TW659="Kopman",2.1,1)</f>
        <v>1</v>
      </c>
      <c r="TY659" s="204">
        <f>VLOOKUP(TV659,$A$681:$F$2272,6,FALSE)</f>
        <v>56</v>
      </c>
      <c r="TZ659" s="203" t="s">
        <v>61</v>
      </c>
      <c r="UA659" s="10">
        <f>TY659*1.5*TX659</f>
        <v>84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VLOOKUP(UE659,$A$681:$F$2272,6,FALSE)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VLOOKUP(UN659,$A$681:$F$2272,6,FALSE)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2554</v>
      </c>
      <c r="UY659" s="284">
        <f>IF(UX659="Kopman",2.1,1)</f>
        <v>1</v>
      </c>
      <c r="UZ659" s="204">
        <f>VLOOKUP(UW659,$A$681:$F$2272,6,FALSE)</f>
        <v>22</v>
      </c>
      <c r="VA659" s="203" t="s">
        <v>61</v>
      </c>
      <c r="VB659" s="10">
        <f>UZ659*1.5*UY659</f>
        <v>33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VLOOKUP(VF659,$A$681:$F$2272,6,FALSE)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2075</v>
      </c>
      <c r="VQ659" s="284">
        <f>IF(VP659="Kopman",2.1,1)</f>
        <v>1</v>
      </c>
      <c r="VR659" s="204">
        <f>VLOOKUP(VO659,$A$681:$F$2272,6,FALSE)</f>
        <v>8</v>
      </c>
      <c r="VS659" s="203" t="s">
        <v>61</v>
      </c>
      <c r="VT659" s="10">
        <f>VR659*1.5*VQ659</f>
        <v>12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VLOOKUP(VX659,$A$681:$F$2272,6,FALSE)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2807</v>
      </c>
      <c r="WI659" s="284">
        <f>IF(WH659="Kopman",2.1,1)</f>
        <v>1</v>
      </c>
      <c r="WJ659" s="204">
        <f>VLOOKUP(WG659,$A$681:$F$2272,6,FALSE)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VLOOKUP(WP659,$A$681:$F$2272,6,FALSE)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VLOOKUP(WY659,$A$681:$F$2272,6,FALSE)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VLOOKUP(XH659,$A$681:$F$2272,6,FALSE)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2642</v>
      </c>
      <c r="XS659" s="284">
        <f>IF(XR659="Kopman",2.1,1)</f>
        <v>1</v>
      </c>
      <c r="XT659" s="204">
        <f>VLOOKUP(XQ659,$A$681:$F$2272,6,FALSE)</f>
        <v>56</v>
      </c>
      <c r="XU659" s="203" t="s">
        <v>61</v>
      </c>
      <c r="XV659" s="10">
        <f>XT659*1.5*XS659</f>
        <v>84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VLOOKUP(XZ659,$A$681:$F$2272,6,FALSE)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VLOOKUP(YI659,$A$681:$F$2272,6,FALSE)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VLOOKUP(YR659,$A$681:$F$2272,6,FALSE)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2076</v>
      </c>
      <c r="ZC659" s="284">
        <f>IF(ZB659="Kopman",2.1,1)</f>
        <v>1</v>
      </c>
      <c r="ZD659" s="204">
        <f>VLOOKUP(ZA659,$A$681:$F$2272,6,FALSE)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VLOOKUP(ZJ659,$A$681:$F$2272,6,FALSE)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VLOOKUP(ZS659,$A$681:$F$2272,6,FALSE)</f>
        <v>1</v>
      </c>
      <c r="ZW659" s="203" t="s">
        <v>61</v>
      </c>
      <c r="ZX659" s="10">
        <f>ZV659*1.5*ZU659</f>
        <v>1.5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VLOOKUP(AAB659,$A$681:$F$2272,6,FALSE)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2596</v>
      </c>
      <c r="AAM659" s="284">
        <f>IF(AAL659="Kopman",2.1,1)</f>
        <v>1</v>
      </c>
      <c r="AAN659" s="204">
        <f>VLOOKUP(AAK659,$A$681:$F$2272,6,FALSE)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2554</v>
      </c>
      <c r="AAV659" s="284">
        <f>IF(AAU659="Kopman",2.1,1)</f>
        <v>1</v>
      </c>
      <c r="AAW659" s="204">
        <f>VLOOKUP(AAT659,$A$681:$F$2272,6,FALSE)</f>
        <v>22</v>
      </c>
      <c r="AAX659" s="203" t="s">
        <v>61</v>
      </c>
      <c r="AAY659" s="10">
        <f>AAW659*1.5*AAV659</f>
        <v>33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VLOOKUP(ABC659,$A$681:$F$2272,6,FALSE)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VLOOKUP(ABL659,$A$681:$F$2272,6,FALSE)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VLOOKUP(ABU659,$A$681:$F$2272,6,FALSE)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VLOOKUP(ACD659,$A$681:$F$2272,6,FALSE)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VLOOKUP(ACM659,$A$681:$F$2272,6,FALSE)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VLOOKUP(ACV659,$A$681:$F$2272,6,FALSE)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VLOOKUP(ADE659,$A$681:$F$2272,6,FALSE)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VLOOKUP(ADN659,$A$681:$F$2272,6,FALSE)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VLOOKUP(ADW659,$A$681:$F$2272,6,FALSE)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VLOOKUP(AEF659,$A$681:$F$2272,6,FALSE)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VLOOKUP(AEO659,$A$681:$F$2272,6,FALSE)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VLOOKUP(AEX659,$A$681:$F$2272,6,FALSE)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VLOOKUP(AFG659,$A$681:$F$2272,6,FALSE)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VLOOKUP(AFP659,$A$681:$F$2272,6,FALSE)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VLOOKUP(AFY659,$A$681:$F$2272,6,FALSE)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VLOOKUP(AGH659,$A$681:$F$2272,6,FALSE)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VLOOKUP(AGQ659,$A$681:$F$2272,6,FALSE)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2343</v>
      </c>
      <c r="AHB659" s="284">
        <f>IF(AHA659="Kopman",2.1,1)</f>
        <v>1</v>
      </c>
      <c r="AHC659" s="204">
        <f>VLOOKUP(AGZ659,$A$681:$F$2272,6,FALSE)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VLOOKUP(AHI659,$A$681:$F$2272,6,FALSE)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VLOOKUP(AHR659,$A$681:$F$2272,6,FALSE)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VLOOKUP(AIA659,$A$681:$F$2272,6,FALSE)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VLOOKUP(AIJ659,$A$681:$F$2272,6,FALSE)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VLOOKUP(AIS659,$A$681:$F$2272,6,FALSE)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VLOOKUP(AJB659,$A$681:$F$2272,6,FALSE)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VLOOKUP(AJK659,$A$681:$F$2272,6,FALSE)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VLOOKUP(AJT659,$A$681:$F$2272,6,FALSE)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VLOOKUP(AKC659,$A$681:$F$2272,6,FALSE)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2847</v>
      </c>
      <c r="AKN659" s="284">
        <f>IF(AKM659="Kopman",2.1,1)</f>
        <v>1</v>
      </c>
      <c r="AKO659" s="204">
        <f>VLOOKUP(AKL659,$A$681:$F$2272,6,FALSE)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2554</v>
      </c>
      <c r="AKW659" s="284">
        <f>IF(AKV659="Kopman",2.1,1)</f>
        <v>1</v>
      </c>
      <c r="AKX659" s="204">
        <f>VLOOKUP(AKU659,$A$681:$F$2272,6,FALSE)</f>
        <v>22</v>
      </c>
      <c r="AKY659" s="203" t="s">
        <v>61</v>
      </c>
      <c r="AKZ659" s="10">
        <f>AKX659*1.5*AKW659</f>
        <v>33</v>
      </c>
      <c r="ALA659" s="10"/>
      <c r="ALB659" s="274"/>
      <c r="ALC659" s="203" t="s">
        <v>115</v>
      </c>
      <c r="ALD659" s="277" t="s">
        <v>2335</v>
      </c>
      <c r="ALF659" s="284">
        <f>IF(ALE659="Kopman",2.1,1)</f>
        <v>1</v>
      </c>
      <c r="ALG659" s="204">
        <f>VLOOKUP(ALD659,$A$681:$F$2272,6,FALSE)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VLOOKUP(ALM659,$A$681:$F$2272,6,FALSE)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VLOOKUP(ALV659,$A$681:$F$2272,6,FALSE)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VLOOKUP(AME659,$A$681:$F$2272,6,FALSE)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VLOOKUP(AMN659,$A$681:$F$2272,6,FALSE)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VLOOKUP(AMW659,$A$681:$F$2272,6,FALSE)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2776</v>
      </c>
      <c r="ANH659" s="284">
        <f>IF(ANG659="Kopman",2.1,1)</f>
        <v>1</v>
      </c>
      <c r="ANI659" s="204">
        <f>VLOOKUP(ANF659,$A$681:$F$2272,6,FALSE)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VLOOKUP(ANO659,$A$681:$F$2272,6,FALSE)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VLOOKUP(ANX659,$A$681:$F$2272,6,FALSE)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2092</v>
      </c>
      <c r="AOI659" s="284">
        <f>IF(AOH659="Kopman",2.1,1)</f>
        <v>1</v>
      </c>
      <c r="AOJ659" s="204">
        <f>VLOOKUP(AOG659,$A$681:$F$2272,6,FALSE)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VLOOKUP(AOP659,$A$681:$F$2272,6,FALSE)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2075</v>
      </c>
      <c r="APA659" s="284">
        <f>IF(AOZ659="Kopman",2.1,1)</f>
        <v>1</v>
      </c>
      <c r="APB659" s="204">
        <f>VLOOKUP(AOY659,$A$681:$F$2272,6,FALSE)</f>
        <v>8</v>
      </c>
      <c r="APC659" s="203" t="s">
        <v>61</v>
      </c>
      <c r="APD659" s="10">
        <f>APB659*1.5*APA659</f>
        <v>12</v>
      </c>
      <c r="APE659" s="10"/>
      <c r="APF659" s="274"/>
      <c r="APG659" s="203" t="s">
        <v>115</v>
      </c>
      <c r="APH659" s="277" t="s">
        <v>2065</v>
      </c>
      <c r="APJ659" s="284">
        <f>IF(API659="Kopman",2.1,1)</f>
        <v>1</v>
      </c>
      <c r="APK659" s="204">
        <f>VLOOKUP(APH659,$A$681:$F$2272,6,FALSE)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VLOOKUP(APQ659,$A$681:$F$2272,6,FALSE)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VLOOKUP(APZ659,$A$681:$F$2272,6,FALSE)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2642</v>
      </c>
      <c r="D660" s="204"/>
      <c r="E660" s="204">
        <f>VLOOKUP(B660,$A$681:$F$2272,6,FALSE)</f>
        <v>56</v>
      </c>
      <c r="F660" s="203" t="s">
        <v>63</v>
      </c>
      <c r="G660" s="10">
        <f>E660*1.4</f>
        <v>78.399999999999991</v>
      </c>
      <c r="H660" s="10"/>
      <c r="I660" s="268"/>
      <c r="J660" s="203" t="s">
        <v>116</v>
      </c>
      <c r="K660" s="277" t="s">
        <v>2642</v>
      </c>
      <c r="M660" s="204"/>
      <c r="N660" s="204">
        <f>VLOOKUP(K660,$A$681:$F$2272,6,FALSE)</f>
        <v>56</v>
      </c>
      <c r="O660" s="203" t="s">
        <v>63</v>
      </c>
      <c r="P660" s="10">
        <f>N660*1.4</f>
        <v>78.399999999999991</v>
      </c>
      <c r="Q660" s="10"/>
      <c r="R660" s="268"/>
      <c r="S660" s="203" t="s">
        <v>116</v>
      </c>
      <c r="T660" s="277" t="s">
        <v>2518</v>
      </c>
      <c r="V660" s="204"/>
      <c r="W660" s="204">
        <f>VLOOKUP(T660,$A$681:$F$2272,6,FALSE)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2518</v>
      </c>
      <c r="AE660" s="204"/>
      <c r="AF660" s="204">
        <f>VLOOKUP(AC660,$A$681:$F$2272,6,FALSE)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2076</v>
      </c>
      <c r="AN660" s="204"/>
      <c r="AO660" s="204">
        <f>VLOOKUP(AL660,$A$681:$F$2272,6,FALSE)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2344</v>
      </c>
      <c r="AW660" s="204"/>
      <c r="AX660" s="204">
        <f>VLOOKUP(AU660,$A$681:$F$2272,6,FALSE)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2642</v>
      </c>
      <c r="BF660" s="204"/>
      <c r="BG660" s="204">
        <f>VLOOKUP(BD660,$A$681:$F$2272,6,FALSE)</f>
        <v>56</v>
      </c>
      <c r="BH660" s="203" t="s">
        <v>63</v>
      </c>
      <c r="BI660" s="10">
        <f>BG660*1.4</f>
        <v>78.399999999999991</v>
      </c>
      <c r="BJ660" s="10"/>
      <c r="BK660" s="268"/>
      <c r="BL660" s="203" t="s">
        <v>116</v>
      </c>
      <c r="BM660" s="277" t="s">
        <v>2343</v>
      </c>
      <c r="BO660" s="204"/>
      <c r="BP660" s="204">
        <f>VLOOKUP(BM660,$A$681:$F$2272,6,FALSE)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2847</v>
      </c>
      <c r="BX660" s="204"/>
      <c r="BY660" s="204">
        <f>VLOOKUP(BV660,$A$681:$F$2272,6,FALSE)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2847</v>
      </c>
      <c r="CG660" s="204"/>
      <c r="CH660" s="204">
        <f>VLOOKUP(CE660,$A$681:$F$2272,6,FALSE)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2642</v>
      </c>
      <c r="CP660" s="204"/>
      <c r="CQ660" s="204">
        <f>VLOOKUP(CN660,$A$681:$F$2272,6,FALSE)</f>
        <v>56</v>
      </c>
      <c r="CR660" s="203" t="s">
        <v>63</v>
      </c>
      <c r="CS660" s="10">
        <f>CQ660*1.4</f>
        <v>78.399999999999991</v>
      </c>
      <c r="CT660" s="10"/>
      <c r="CU660" s="268"/>
      <c r="CV660" s="203" t="s">
        <v>116</v>
      </c>
      <c r="CW660" s="277" t="s">
        <v>2847</v>
      </c>
      <c r="CY660" s="204"/>
      <c r="CZ660" s="204">
        <f>VLOOKUP(CW660,$A$681:$F$2272,6,FALSE)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2065</v>
      </c>
      <c r="DH660" s="204"/>
      <c r="DI660" s="204">
        <f>VLOOKUP(DF660,$A$681:$F$2272,6,FALSE)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VLOOKUP(DO660,$A$681:$F$2272,6,FALSE)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VLOOKUP(DX660,$A$681:$F$2272,6,FALSE)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VLOOKUP(EG660,$A$681:$F$2272,6,FALSE)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2076</v>
      </c>
      <c r="ER660" s="204"/>
      <c r="ES660" s="204">
        <f>VLOOKUP(EP660,$A$681:$F$2272,6,FALSE)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2642</v>
      </c>
      <c r="FA660" s="204"/>
      <c r="FB660" s="204">
        <f>VLOOKUP(EY661,$A$681:$F$2272,6,FALSE)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2642</v>
      </c>
      <c r="FJ660" s="204"/>
      <c r="FK660" s="204">
        <f>VLOOKUP(FH660,$A$681:$F$2272,6,FALSE)</f>
        <v>56</v>
      </c>
      <c r="FL660" s="203" t="s">
        <v>63</v>
      </c>
      <c r="FM660" s="10">
        <f>FK660*1.4</f>
        <v>78.399999999999991</v>
      </c>
      <c r="FN660" s="10"/>
      <c r="FO660" s="268"/>
      <c r="FP660" s="203" t="s">
        <v>116</v>
      </c>
      <c r="FQ660" s="277" t="s">
        <v>2642</v>
      </c>
      <c r="FS660" s="204"/>
      <c r="FT660" s="204">
        <f>VLOOKUP(FQ660,$A$681:$F$2272,6,FALSE)</f>
        <v>56</v>
      </c>
      <c r="FU660" s="203" t="s">
        <v>63</v>
      </c>
      <c r="FV660" s="10">
        <f>FT660*1.4</f>
        <v>78.399999999999991</v>
      </c>
      <c r="FW660" s="10"/>
      <c r="FX660" s="268"/>
      <c r="FY660" s="203" t="s">
        <v>116</v>
      </c>
      <c r="FZ660" s="277" t="s">
        <v>2847</v>
      </c>
      <c r="GB660" s="204"/>
      <c r="GC660" s="204">
        <f>VLOOKUP(FZ660,$A$681:$F$2272,6,FALSE)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VLOOKUP(GI660,$A$681:$F$2272,6,FALSE)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2800</v>
      </c>
      <c r="GT660" s="204"/>
      <c r="GU660" s="204">
        <f>VLOOKUP(GR660,$A$681:$F$2272,6,FALSE)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2776</v>
      </c>
      <c r="HC660" s="204"/>
      <c r="HD660" s="204">
        <f>VLOOKUP(HA660,$A$681:$F$2272,6,FALSE)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2075</v>
      </c>
      <c r="HL660" s="204"/>
      <c r="HM660" s="204">
        <f>VLOOKUP(HJ660,$A$681:$F$2272,6,FALSE)</f>
        <v>8</v>
      </c>
      <c r="HN660" s="203" t="s">
        <v>63</v>
      </c>
      <c r="HO660" s="10">
        <f>HM660*1.4</f>
        <v>11.2</v>
      </c>
      <c r="HP660" s="10"/>
      <c r="HQ660" s="268"/>
      <c r="HR660" s="203" t="s">
        <v>116</v>
      </c>
      <c r="HS660" s="277" t="s">
        <v>2092</v>
      </c>
      <c r="HU660" s="204"/>
      <c r="HV660" s="204">
        <f>VLOOKUP(HS660,$A$681:$F$2272,6,FALSE)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VLOOKUP(IB660,$A$681:$F$2272,6,FALSE)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VLOOKUP(IK660,$A$681:$F$2272,6,FALSE)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VLOOKUP(IT660,$A$681:$F$2272,6,FALSE)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2776</v>
      </c>
      <c r="JE660" s="204"/>
      <c r="JF660" s="204">
        <f>VLOOKUP(JC660,$A$681:$F$2272,6,FALSE)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VLOOKUP(JL660,$A$681:$F$2272,6,FALSE)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VLOOKUP(JU660,$A$681:$F$2272,6,FALSE)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VLOOKUP(KD660,$A$681:$F$2272,6,FALSE)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2679</v>
      </c>
      <c r="KO660" s="204"/>
      <c r="KP660" s="204">
        <f>VLOOKUP(KM660,$A$681:$F$2272,6,FALSE)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1835</v>
      </c>
      <c r="KX660" s="204"/>
      <c r="KY660" s="204">
        <f>VLOOKUP(KV660,$A$681:$F$2272,6,FALSE)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VLOOKUP(LE660,$A$681:$F$2272,6,FALSE)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VLOOKUP(LN660,$A$681:$F$2272,6,FALSE)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VLOOKUP(LW660,$A$681:$F$2272,6,FALSE)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VLOOKUP(MF660,$A$681:$F$2272,6,FALSE)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VLOOKUP(MO660,$A$681:$F$2272,6,FALSE)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VLOOKUP(MX660,$A$681:$F$2272,6,FALSE)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VLOOKUP(NG660,$A$681:$F$2272,6,FALSE)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VLOOKUP(NP660,$A$681:$F$2272,6,FALSE)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2554</v>
      </c>
      <c r="OA660" s="204"/>
      <c r="OB660" s="204">
        <f>VLOOKUP(NY660,$A$681:$F$2272,6,FALSE)</f>
        <v>22</v>
      </c>
      <c r="OC660" s="203" t="s">
        <v>63</v>
      </c>
      <c r="OD660" s="10">
        <f>OB660*1.4</f>
        <v>30.799999999999997</v>
      </c>
      <c r="OE660" s="10"/>
      <c r="OF660" s="268"/>
      <c r="OG660" s="203" t="s">
        <v>116</v>
      </c>
      <c r="OH660" s="277" t="s">
        <v>2075</v>
      </c>
      <c r="OJ660" s="204"/>
      <c r="OK660" s="204">
        <f>VLOOKUP(OH660,$A$681:$F$2272,6,FALSE)</f>
        <v>8</v>
      </c>
      <c r="OL660" s="203" t="s">
        <v>63</v>
      </c>
      <c r="OM660" s="10">
        <f>OK660*1.4</f>
        <v>11.2</v>
      </c>
      <c r="ON660" s="10"/>
      <c r="OO660" s="268"/>
      <c r="OP660" s="203" t="s">
        <v>116</v>
      </c>
      <c r="OQ660" s="425" t="s">
        <v>3151</v>
      </c>
      <c r="OS660" s="204"/>
      <c r="OT660" s="204">
        <f>VLOOKUP(OQ660,$A$681:$F$2272,6,FALSE)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2642</v>
      </c>
      <c r="PB660" s="204"/>
      <c r="PC660" s="204">
        <f>VLOOKUP(OZ660,$A$681:$F$2272,6,FALSE)</f>
        <v>56</v>
      </c>
      <c r="PD660" s="203" t="s">
        <v>63</v>
      </c>
      <c r="PE660" s="10">
        <f>PC660*1.4</f>
        <v>78.399999999999991</v>
      </c>
      <c r="PF660" s="10"/>
      <c r="PG660" s="268"/>
      <c r="PH660" s="203" t="s">
        <v>116</v>
      </c>
      <c r="PI660" s="277" t="s">
        <v>2847</v>
      </c>
      <c r="PK660" s="204"/>
      <c r="PL660" s="204">
        <f>VLOOKUP(PI660,$A$681:$F$2272,6,FALSE)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VLOOKUP(PR660,$A$681:$F$2272,6,FALSE)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VLOOKUP(QA660,$A$681:$F$2272,6,FALSE)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VLOOKUP(QJ660,$A$681:$F$2272,6,FALSE)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2065</v>
      </c>
      <c r="QU660" s="204"/>
      <c r="QV660" s="204">
        <f>VLOOKUP(QS660,$A$681:$F$2272,6,FALSE)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3092</v>
      </c>
      <c r="RD660" s="204"/>
      <c r="RE660" s="204">
        <f>VLOOKUP(RB660,$A$681:$F$2272,6,FALSE)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VLOOKUP(RK660,$A$681:$F$2272,6,FALSE)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2847</v>
      </c>
      <c r="RV660" s="204"/>
      <c r="RW660" s="204">
        <f>VLOOKUP(RT660,$A$681:$F$2272,6,FALSE)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2642</v>
      </c>
      <c r="SE660" s="204"/>
      <c r="SF660" s="204">
        <f>VLOOKUP(SC660,$A$681:$F$2272,6,FALSE)</f>
        <v>56</v>
      </c>
      <c r="SG660" s="203" t="s">
        <v>63</v>
      </c>
      <c r="SH660" s="10">
        <f>SF660*1.4</f>
        <v>78.399999999999991</v>
      </c>
      <c r="SI660" s="10"/>
      <c r="SJ660" s="274"/>
      <c r="SK660" s="203" t="s">
        <v>116</v>
      </c>
      <c r="SL660" s="277" t="s">
        <v>2518</v>
      </c>
      <c r="SN660" s="204"/>
      <c r="SO660" s="204">
        <f>VLOOKUP(SL660,$A$681:$F$2272,6,FALSE)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VLOOKUP(SU660,$A$681:$F$2272,6,FALSE)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VLOOKUP(TD660,$A$681:$F$2272,6,FALSE)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2642</v>
      </c>
      <c r="TO660" s="204"/>
      <c r="TP660" s="204">
        <f>VLOOKUP(TM660,$A$681:$F$2272,6,FALSE)</f>
        <v>56</v>
      </c>
      <c r="TQ660" s="203" t="s">
        <v>63</v>
      </c>
      <c r="TR660" s="10">
        <f>TP660*1.4</f>
        <v>78.399999999999991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VLOOKUP(TV660,$A$681:$F$2272,6,FALSE)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VLOOKUP(UE660,$A$681:$F$2272,6,FALSE)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2847</v>
      </c>
      <c r="UP660" s="204"/>
      <c r="UQ660" s="204">
        <f>VLOOKUP(UN660,$A$681:$F$2272,6,FALSE)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VLOOKUP(UW660,$A$681:$F$2272,6,FALSE)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VLOOKUP(VF660,$A$681:$F$2272,6,FALSE)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VLOOKUP(VO660,$A$681:$F$2272,6,FALSE)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VLOOKUP(VX660,$A$681:$F$2272,6,FALSE)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2836</v>
      </c>
      <c r="WI660" s="204"/>
      <c r="WJ660" s="204">
        <f>VLOOKUP(WG660,$A$681:$F$2272,6,FALSE)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VLOOKUP(WP660,$A$681:$F$2272,6,FALSE)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VLOOKUP(WY660,$A$681:$F$2272,6,FALSE)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2847</v>
      </c>
      <c r="XJ660" s="204"/>
      <c r="XK660" s="204">
        <f>VLOOKUP(XH660,$A$681:$F$2272,6,FALSE)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449</v>
      </c>
      <c r="XS660" s="204"/>
      <c r="XT660" s="204">
        <f>VLOOKUP(XQ660,$A$681:$F$2272,6,FALSE)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VLOOKUP(XZ660,$A$681:$F$2272,6,FALSE)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VLOOKUP(YI660,$A$681:$F$2272,6,FALSE)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VLOOKUP(YR660,$A$681:$F$2272,6,FALSE)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2075</v>
      </c>
      <c r="ZC660" s="204"/>
      <c r="ZD660" s="204">
        <f>VLOOKUP(ZA660,$A$681:$F$2272,6,FALSE)</f>
        <v>8</v>
      </c>
      <c r="ZE660" s="203" t="s">
        <v>63</v>
      </c>
      <c r="ZF660" s="10">
        <f>ZD660*1.4</f>
        <v>11.2</v>
      </c>
      <c r="ZH660" s="274"/>
      <c r="ZI660" s="203" t="s">
        <v>116</v>
      </c>
      <c r="ZJ660" s="277" t="s">
        <v>449</v>
      </c>
      <c r="ZL660" s="204"/>
      <c r="ZM660" s="204">
        <f>VLOOKUP(ZJ660,$A$681:$F$2272,6,FALSE)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VLOOKUP(ZS660,$A$681:$F$2272,6,FALSE)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2642</v>
      </c>
      <c r="AAD660" s="204"/>
      <c r="AAE660" s="204">
        <f>VLOOKUP(AAB660,$A$681:$F$2272,6,FALSE)</f>
        <v>56</v>
      </c>
      <c r="AAF660" s="203" t="s">
        <v>63</v>
      </c>
      <c r="AAG660" s="10">
        <f>AAE660*1.4</f>
        <v>78.399999999999991</v>
      </c>
      <c r="AAH660" s="10"/>
      <c r="AAI660" s="274"/>
      <c r="AAJ660" s="203" t="s">
        <v>116</v>
      </c>
      <c r="AAK660" s="277" t="s">
        <v>3092</v>
      </c>
      <c r="AAM660" s="204"/>
      <c r="AAN660" s="204">
        <f>VLOOKUP(AAK660,$A$681:$F$2272,6,FALSE)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3092</v>
      </c>
      <c r="AAV660" s="204"/>
      <c r="AAW660" s="204">
        <f>VLOOKUP(AAT660,$A$681:$F$2272,6,FALSE)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VLOOKUP(ABC660,$A$681:$F$2272,6,FALSE)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2836</v>
      </c>
      <c r="ABN660" s="204"/>
      <c r="ABO660" s="204">
        <f>VLOOKUP(ABL660,$A$681:$F$2272,6,FALSE)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VLOOKUP(ABU660,$A$681:$F$2272,6,FALSE)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VLOOKUP(ACD660,$A$681:$F$2272,6,FALSE)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VLOOKUP(ACM660,$A$681:$F$2272,6,FALSE)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VLOOKUP(ACV660,$A$681:$F$2272,6,FALSE)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VLOOKUP(ADE660,$A$681:$F$2272,6,FALSE)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VLOOKUP(ADN660,$A$681:$F$2272,6,FALSE)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VLOOKUP(ADW660,$A$681:$F$2272,6,FALSE)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VLOOKUP(AEF660,$A$681:$F$2272,6,FALSE)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VLOOKUP(AEO660,$A$681:$F$2272,6,FALSE)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VLOOKUP(AEX660,$A$681:$F$2272,6,FALSE)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VLOOKUP(AFG660,$A$681:$F$2272,6,FALSE)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VLOOKUP(AFP660,$A$681:$F$2272,6,FALSE)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VLOOKUP(AFY660,$A$681:$F$2272,6,FALSE)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VLOOKUP(AGH660,$A$681:$F$2272,6,FALSE)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VLOOKUP(AGQ660,$A$681:$F$2272,6,FALSE)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3151</v>
      </c>
      <c r="AHB660" s="204"/>
      <c r="AHC660" s="204">
        <f>VLOOKUP(AGZ660,$A$681:$F$2272,6,FALSE)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2732</v>
      </c>
      <c r="AHK660" s="204"/>
      <c r="AHL660" s="204">
        <f>VLOOKUP(AHI660,$A$681:$F$2272,6,FALSE)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2847</v>
      </c>
      <c r="AHT660" s="204"/>
      <c r="AHU660" s="204">
        <f>VLOOKUP(AHR660,$A$681:$F$2272,6,FALSE)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VLOOKUP(AIA660,$A$681:$F$2272,6,FALSE)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VLOOKUP(AIJ660,$A$681:$F$2272,6,FALSE)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VLOOKUP(AIS660,$A$681:$F$2272,6,FALSE)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2642</v>
      </c>
      <c r="AJD660" s="204"/>
      <c r="AJE660" s="204">
        <f>VLOOKUP(AJB660,$A$681:$F$2272,6,FALSE)</f>
        <v>56</v>
      </c>
      <c r="AJF660" s="203" t="s">
        <v>63</v>
      </c>
      <c r="AJG660" s="10">
        <f>AJE660*1.4</f>
        <v>78.399999999999991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VLOOKUP(AJK660,$A$681:$F$2272,6,FALSE)</f>
        <v>1</v>
      </c>
      <c r="AJO660" s="203" t="s">
        <v>63</v>
      </c>
      <c r="AJP660" s="10">
        <f>AJN660*1.4</f>
        <v>1.4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VLOOKUP(AJT660,$A$681:$F$2272,6,FALSE)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VLOOKUP(AKC660,$A$681:$F$2272,6,FALSE)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VLOOKUP(AKL660,$A$681:$F$2272,6,FALSE)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VLOOKUP(AKU660,$A$681:$F$2272,6,FALSE)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2573</v>
      </c>
      <c r="ALF660" s="204"/>
      <c r="ALG660" s="204">
        <f>VLOOKUP(ALD660,$A$681:$F$2272,6,FALSE)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VLOOKUP(ALM660,$A$681:$F$2272,6,FALSE)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VLOOKUP(ALV660,$A$681:$F$2272,6,FALSE)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VLOOKUP(AME660,$A$681:$F$2272,6,FALSE)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3151</v>
      </c>
      <c r="AMP660" s="204"/>
      <c r="AMQ660" s="204">
        <f>VLOOKUP(AMN660,$A$681:$F$2272,6,FALSE)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VLOOKUP(AMW660,$A$681:$F$2272,6,FALSE)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2679</v>
      </c>
      <c r="ANH660" s="204"/>
      <c r="ANI660" s="204">
        <f>VLOOKUP(ANF660,$A$681:$F$2272,6,FALSE)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VLOOKUP(ANO660,$A$681:$F$2272,6,FALSE)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2749</v>
      </c>
      <c r="ANZ660" s="204"/>
      <c r="AOA660" s="204">
        <f>VLOOKUP(ANX660,$A$681:$F$2272,6,FALSE)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2346</v>
      </c>
      <c r="AOI660" s="204"/>
      <c r="AOJ660" s="204">
        <f>VLOOKUP(AOG660,$A$681:$F$2272,6,FALSE)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2092</v>
      </c>
      <c r="AOR660" s="204"/>
      <c r="AOS660" s="204">
        <f>VLOOKUP(AOP660,$A$681:$F$2272,6,FALSE)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2642</v>
      </c>
      <c r="APA660" s="204"/>
      <c r="APB660" s="204">
        <f>VLOOKUP(AOY660,$A$681:$F$2272,6,FALSE)</f>
        <v>56</v>
      </c>
      <c r="APC660" s="203" t="s">
        <v>63</v>
      </c>
      <c r="APD660" s="10">
        <f>APB660*1.4</f>
        <v>78.399999999999991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VLOOKUP(APH660,$A$681:$F$2272,6,FALSE)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VLOOKUP(APQ660,$A$681:$F$2272,6,FALSE)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VLOOKUP(APZ660,$A$681:$F$2272,6,FALSE)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2518</v>
      </c>
      <c r="D661" s="204"/>
      <c r="E661" s="204">
        <f>VLOOKUP(B661,$A$681:$F$2272,6,FALSE)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2065</v>
      </c>
      <c r="M661" s="204"/>
      <c r="N661" s="204">
        <f>VLOOKUP(K661,$A$681:$F$2272,6,FALSE)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VLOOKUP(T661,$A$681:$F$2272,6,FALSE)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2847</v>
      </c>
      <c r="AE661" s="204"/>
      <c r="AF661" s="204">
        <f>VLOOKUP(AC661,$A$681:$F$2272,6,FALSE)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1835</v>
      </c>
      <c r="AN661" s="204"/>
      <c r="AO661" s="204">
        <f>VLOOKUP(AL661,$A$681:$F$2272,6,FALSE)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2075</v>
      </c>
      <c r="AW661" s="204"/>
      <c r="AX661" s="204">
        <f>VLOOKUP(AU661,$A$681:$F$2272,6,FALSE)</f>
        <v>8</v>
      </c>
      <c r="AY661" s="203" t="s">
        <v>65</v>
      </c>
      <c r="AZ661" s="10">
        <f>AX661*1.3</f>
        <v>10.4</v>
      </c>
      <c r="BA661" s="10"/>
      <c r="BB661" s="268"/>
      <c r="BC661" s="203" t="s">
        <v>117</v>
      </c>
      <c r="BD661" s="277" t="s">
        <v>2518</v>
      </c>
      <c r="BF661" s="204"/>
      <c r="BG661" s="204">
        <f>VLOOKUP(BD661,$A$681:$F$2272,6,FALSE)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2800</v>
      </c>
      <c r="BO661" s="204"/>
      <c r="BP661" s="204">
        <f>VLOOKUP(BM661,$A$681:$F$2272,6,FALSE)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2518</v>
      </c>
      <c r="BX661" s="204"/>
      <c r="BY661" s="204">
        <f>VLOOKUP(BV661,$A$681:$F$2272,6,FALSE)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2076</v>
      </c>
      <c r="CG661" s="204"/>
      <c r="CH661" s="204">
        <f>VLOOKUP(CE661,$A$681:$F$2272,6,FALSE)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2518</v>
      </c>
      <c r="CP661" s="204"/>
      <c r="CQ661" s="204">
        <f>VLOOKUP(CN661,$A$681:$F$2272,6,FALSE)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2343</v>
      </c>
      <c r="CY661" s="204"/>
      <c r="CZ661" s="204">
        <f>VLOOKUP(CW661,$A$681:$F$2272,6,FALSE)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VLOOKUP(DF661,$A$681:$F$2272,6,FALSE)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2776</v>
      </c>
      <c r="DQ661" s="204"/>
      <c r="DR661" s="204">
        <f>VLOOKUP(DO661,$A$681:$F$2272,6,FALSE)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VLOOKUP(DX661,$A$681:$F$2272,6,FALSE)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VLOOKUP(EG661,$A$681:$F$2272,6,FALSE)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VLOOKUP(EP661,$A$681:$F$2272,6,FALSE)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2836</v>
      </c>
      <c r="FA661" s="204"/>
      <c r="FB661" s="204">
        <f>VLOOKUP(EY662,$A$681:$F$2272,6,FALSE)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2344</v>
      </c>
      <c r="FJ661" s="204"/>
      <c r="FK661" s="204">
        <f>VLOOKUP(FH661,$A$681:$F$2272,6,FALSE)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2092</v>
      </c>
      <c r="FS661" s="204"/>
      <c r="FT661" s="204">
        <f>VLOOKUP(FQ661,$A$681:$F$2272,6,FALSE)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2518</v>
      </c>
      <c r="GB661" s="204"/>
      <c r="GC661" s="204">
        <f>VLOOKUP(FZ661,$A$681:$F$2272,6,FALSE)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VLOOKUP(GI661,$A$681:$F$2272,6,FALSE)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2518</v>
      </c>
      <c r="GT661" s="204"/>
      <c r="GU661" s="204">
        <f>VLOOKUP(GR661,$A$681:$F$2272,6,FALSE)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2847</v>
      </c>
      <c r="HC661" s="204"/>
      <c r="HD661" s="204">
        <f>VLOOKUP(HA661,$A$681:$F$2272,6,FALSE)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VLOOKUP(HJ661,$A$681:$F$2272,6,FALSE)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2065</v>
      </c>
      <c r="HU661" s="204"/>
      <c r="HV661" s="204">
        <f>VLOOKUP(HS661,$A$681:$F$2272,6,FALSE)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VLOOKUP(IB661,$A$681:$F$2272,6,FALSE)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VLOOKUP(IK661,$A$681:$F$2272,6,FALSE)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VLOOKUP(IT661,$A$681:$F$2272,6,FALSE)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VLOOKUP(JC661,$A$681:$F$2272,6,FALSE)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2065</v>
      </c>
      <c r="JN661" s="204"/>
      <c r="JO661" s="204">
        <f>VLOOKUP(JL661,$A$681:$F$2272,6,FALSE)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2836</v>
      </c>
      <c r="JW661" s="204"/>
      <c r="JX661" s="204">
        <f>VLOOKUP(JU661,$A$681:$F$2272,6,FALSE)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VLOOKUP(KD661,$A$681:$F$2272,6,FALSE)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2095</v>
      </c>
      <c r="KO661" s="204"/>
      <c r="KP661" s="204">
        <f>VLOOKUP(KM661,$A$681:$F$2272,6,FALSE)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2343</v>
      </c>
      <c r="KX661" s="204"/>
      <c r="KY661" s="204">
        <f>VLOOKUP(KV661,$A$681:$F$2272,6,FALSE)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VLOOKUP(LE661,$A$681:$F$2272,6,FALSE)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2075</v>
      </c>
      <c r="LP661" s="204"/>
      <c r="LQ661" s="204">
        <f>VLOOKUP(LN661,$A$681:$F$2272,6,FALSE)</f>
        <v>8</v>
      </c>
      <c r="LR661" s="203" t="s">
        <v>65</v>
      </c>
      <c r="LS661" s="10">
        <f>LQ661*1.3</f>
        <v>10.4</v>
      </c>
      <c r="LT661" s="10"/>
      <c r="LU661" s="268"/>
      <c r="LV661" s="203" t="s">
        <v>117</v>
      </c>
      <c r="LW661" s="277" t="s">
        <v>3151</v>
      </c>
      <c r="LY661" s="204"/>
      <c r="LZ661" s="204">
        <f>VLOOKUP(LW661,$A$681:$F$2272,6,FALSE)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VLOOKUP(MF661,$A$681:$F$2272,6,FALSE)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2129</v>
      </c>
      <c r="MQ661" s="204"/>
      <c r="MR661" s="204">
        <f>VLOOKUP(MO661,$A$681:$F$2272,6,FALSE)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VLOOKUP(MX661,$A$681:$F$2272,6,FALSE)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VLOOKUP(NG661,$A$681:$F$2272,6,FALSE)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3151</v>
      </c>
      <c r="NR661" s="204"/>
      <c r="NS661" s="204">
        <f>VLOOKUP(NP661,$A$681:$F$2272,6,FALSE)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2732</v>
      </c>
      <c r="OA661" s="204"/>
      <c r="OB661" s="204">
        <f>VLOOKUP(NY661,$A$681:$F$2272,6,FALSE)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VLOOKUP(OH661,$A$681:$F$2272,6,FALSE)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VLOOKUP(OQ661,$A$681:$F$2272,6,FALSE)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VLOOKUP(OZ661,$A$681:$F$2272,6,FALSE)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2518</v>
      </c>
      <c r="PK661" s="204"/>
      <c r="PL661" s="204">
        <f>VLOOKUP(PI661,$A$681:$F$2272,6,FALSE)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VLOOKUP(PR661,$A$681:$F$2272,6,FALSE)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VLOOKUP(QA661,$A$681:$F$2272,6,FALSE)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2075</v>
      </c>
      <c r="QL661" s="204"/>
      <c r="QM661" s="204">
        <f>VLOOKUP(QJ661,$A$681:$F$2272,6,FALSE)</f>
        <v>8</v>
      </c>
      <c r="QN661" s="203" t="s">
        <v>65</v>
      </c>
      <c r="QO661" s="10">
        <f>QM661*1.3</f>
        <v>10.4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VLOOKUP(QS661,$A$681:$F$2272,6,FALSE)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VLOOKUP(RB661,$A$681:$F$2272,6,FALSE)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VLOOKUP(RK661,$A$681:$F$2272,6,FALSE)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2642</v>
      </c>
      <c r="RV661" s="204"/>
      <c r="RW661" s="204">
        <f>VLOOKUP(RT661,$A$681:$F$2272,6,FALSE)</f>
        <v>56</v>
      </c>
      <c r="RX661" s="203" t="s">
        <v>65</v>
      </c>
      <c r="RY661" s="10">
        <f>RW661*1.3</f>
        <v>72.8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VLOOKUP(SC661,$A$681:$F$2272,6,FALSE)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2847</v>
      </c>
      <c r="SN661" s="204"/>
      <c r="SO661" s="204">
        <f>VLOOKUP(SL661,$A$681:$F$2272,6,FALSE)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VLOOKUP(SU661,$A$681:$F$2272,6,FALSE)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VLOOKUP(TD661,$A$681:$F$2272,6,FALSE)</f>
        <v>1</v>
      </c>
      <c r="TH661" s="203" t="s">
        <v>65</v>
      </c>
      <c r="TI661" s="10">
        <f>TG661*1.3</f>
        <v>1.3</v>
      </c>
      <c r="TK661" s="274"/>
      <c r="TL661" s="203" t="s">
        <v>117</v>
      </c>
      <c r="TM661" s="277" t="s">
        <v>992</v>
      </c>
      <c r="TO661" s="204"/>
      <c r="TP661" s="204">
        <f>VLOOKUP(TM661,$A$681:$F$2272,6,FALSE)</f>
        <v>43</v>
      </c>
      <c r="TQ661" s="203" t="s">
        <v>65</v>
      </c>
      <c r="TR661" s="10">
        <f>TP661*1.3</f>
        <v>55.9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VLOOKUP(TV661,$A$681:$F$2272,6,FALSE)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VLOOKUP(UE661,$A$681:$F$2272,6,FALSE)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VLOOKUP(UN661,$A$681:$F$2272,6,FALSE)</f>
        <v>43</v>
      </c>
      <c r="UR661" s="203" t="s">
        <v>65</v>
      </c>
      <c r="US661" s="10">
        <f>UQ661*1.3</f>
        <v>55.9</v>
      </c>
      <c r="UT661" s="10"/>
      <c r="UU661" s="274"/>
      <c r="UV661" s="203" t="s">
        <v>117</v>
      </c>
      <c r="UW661" s="277" t="s">
        <v>2642</v>
      </c>
      <c r="UY661" s="204"/>
      <c r="UZ661" s="204">
        <f>VLOOKUP(UW661,$A$681:$F$2272,6,FALSE)</f>
        <v>56</v>
      </c>
      <c r="VA661" s="203" t="s">
        <v>65</v>
      </c>
      <c r="VB661" s="10">
        <f>UZ661*1.3</f>
        <v>72.8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VLOOKUP(VF661,$A$681:$F$2272,6,FALSE)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VLOOKUP(VO661,$A$681:$F$2272,6,FALSE)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VLOOKUP(VX661,$A$681:$F$2272,6,FALSE)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2776</v>
      </c>
      <c r="WI661" s="204"/>
      <c r="WJ661" s="204">
        <f>VLOOKUP(WG661,$A$681:$F$2272,6,FALSE)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VLOOKUP(WP661,$A$681:$F$2272,6,FALSE)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VLOOKUP(WY661,$A$681:$F$2272,6,FALSE)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2629</v>
      </c>
      <c r="XJ661" s="204"/>
      <c r="XK661" s="204">
        <f>VLOOKUP(XH661,$A$681:$F$2272,6,FALSE)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2076</v>
      </c>
      <c r="XS661" s="204"/>
      <c r="XT661" s="204">
        <f>VLOOKUP(XQ661,$A$681:$F$2272,6,FALSE)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VLOOKUP(XZ661,$A$681:$F$2272,6,FALSE)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VLOOKUP(YI661,$A$681:$F$2272,6,FALSE)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VLOOKUP(YR661,$A$681:$F$2272,6,FALSE)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VLOOKUP(ZA661,$A$681:$F$2272,6,FALSE)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483</v>
      </c>
      <c r="ZL661" s="204"/>
      <c r="ZM661" s="204">
        <f>VLOOKUP(ZJ661,$A$681:$F$2272,6,FALSE)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618</v>
      </c>
      <c r="ZU661" s="204"/>
      <c r="ZV661" s="204">
        <f>VLOOKUP(ZS661,$A$681:$F$2272,6,FALSE)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2343</v>
      </c>
      <c r="AAD661" s="204"/>
      <c r="AAE661" s="204">
        <f>VLOOKUP(AAB661,$A$681:$F$2272,6,FALSE)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VLOOKUP(AAK661,$A$681:$F$2272,6,FALSE)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2335</v>
      </c>
      <c r="AAV661" s="204"/>
      <c r="AAW661" s="204">
        <f>VLOOKUP(AAT661,$A$681:$F$2272,6,FALSE)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VLOOKUP(ABC661,$A$681:$F$2272,6,FALSE)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2092</v>
      </c>
      <c r="ABN661" s="204"/>
      <c r="ABO661" s="204">
        <f>VLOOKUP(ABL661,$A$681:$F$2272,6,FALSE)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VLOOKUP(ABU661,$A$681:$F$2272,6,FALSE)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VLOOKUP(ACD661,$A$681:$F$2272,6,FALSE)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VLOOKUP(ACM661,$A$681:$F$2272,6,FALSE)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VLOOKUP(ACV661,$A$681:$F$2272,6,FALSE)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VLOOKUP(ADE661,$A$681:$F$2272,6,FALSE)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VLOOKUP(ADN661,$A$681:$F$2272,6,FALSE)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VLOOKUP(ADW661,$A$681:$F$2272,6,FALSE)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VLOOKUP(AEF661,$A$681:$F$2272,6,FALSE)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VLOOKUP(AEO661,$A$681:$F$2272,6,FALSE)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VLOOKUP(AEX661,$A$681:$F$2272,6,FALSE)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VLOOKUP(AFG661,$A$681:$F$2272,6,FALSE)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VLOOKUP(AFP661,$A$681:$F$2272,6,FALSE)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VLOOKUP(AFY661,$A$681:$F$2272,6,FALSE)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VLOOKUP(AGH661,$A$681:$F$2272,6,FALSE)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VLOOKUP(AGQ661,$A$681:$F$2272,6,FALSE)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2518</v>
      </c>
      <c r="AHB661" s="204"/>
      <c r="AHC661" s="204">
        <f>VLOOKUP(AGZ661,$A$681:$F$2272,6,FALSE)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VLOOKUP(AHI661,$A$681:$F$2272,6,FALSE)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2642</v>
      </c>
      <c r="AHT661" s="204"/>
      <c r="AHU661" s="204">
        <f>VLOOKUP(AHR661,$A$681:$F$2272,6,FALSE)</f>
        <v>56</v>
      </c>
      <c r="AHV661" s="203" t="s">
        <v>65</v>
      </c>
      <c r="AHW661" s="10">
        <f>AHU661*1.3</f>
        <v>72.8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VLOOKUP(AIA661,$A$681:$F$2272,6,FALSE)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VLOOKUP(AIJ661,$A$681:$F$2272,6,FALSE)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VLOOKUP(AIS661,$A$681:$F$2272,6,FALSE)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3151</v>
      </c>
      <c r="AJD661" s="204"/>
      <c r="AJE661" s="204">
        <f>VLOOKUP(AJB661,$A$681:$F$2272,6,FALSE)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3151</v>
      </c>
      <c r="AJM661" s="204"/>
      <c r="AJN661" s="204">
        <f>VLOOKUP(AJK661,$A$681:$F$2272,6,FALSE)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VLOOKUP(AJT661,$A$681:$F$2272,6,FALSE)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2083</v>
      </c>
      <c r="AKE661" s="204"/>
      <c r="AKF661" s="204">
        <f>VLOOKUP(AKC661,$A$681:$F$2272,6,FALSE)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VLOOKUP(AKL661,$A$681:$F$2272,6,FALSE)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2596</v>
      </c>
      <c r="AKW661" s="204"/>
      <c r="AKX661" s="204">
        <f>VLOOKUP(AKU661,$A$681:$F$2272,6,FALSE)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VLOOKUP(ALD661,$A$681:$F$2272,6,FALSE)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2075</v>
      </c>
      <c r="ALO661" s="204"/>
      <c r="ALP661" s="204">
        <f>VLOOKUP(ALM661,$A$681:$F$2272,6,FALSE)</f>
        <v>8</v>
      </c>
      <c r="ALQ661" s="203" t="s">
        <v>65</v>
      </c>
      <c r="ALR661" s="10">
        <f>ALP661*1.3</f>
        <v>10.4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VLOOKUP(ALV661,$A$681:$F$2272,6,FALSE)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VLOOKUP(AME661,$A$681:$F$2272,6,FALSE)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2679</v>
      </c>
      <c r="AMP661" s="204"/>
      <c r="AMQ661" s="204">
        <f>VLOOKUP(AMN661,$A$681:$F$2272,6,FALSE)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2097</v>
      </c>
      <c r="AMY661" s="204"/>
      <c r="AMZ661" s="204">
        <f>VLOOKUP(AMW661,$A$681:$F$2272,6,FALSE)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2092</v>
      </c>
      <c r="ANH661" s="204"/>
      <c r="ANI661" s="204">
        <f>VLOOKUP(ANF661,$A$681:$F$2272,6,FALSE)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1835</v>
      </c>
      <c r="ANQ661" s="204"/>
      <c r="ANR661" s="204">
        <f>VLOOKUP(ANO661,$A$681:$F$2272,6,FALSE)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VLOOKUP(ANX661,$A$681:$F$2272,6,FALSE)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VLOOKUP(AOG661,$A$681:$F$2272,6,FALSE)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VLOOKUP(AOP661,$A$681:$F$2272,6,FALSE)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VLOOKUP(AOY661,$A$681:$F$2272,6,FALSE)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VLOOKUP(APH661,$A$681:$F$2272,6,FALSE)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VLOOKUP(APQ661,$A$681:$F$2272,6,FALSE)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VLOOKUP(APZ661,$A$681:$F$2272,6,FALSE)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2554</v>
      </c>
      <c r="D662" s="204"/>
      <c r="E662" s="204">
        <f>VLOOKUP(B662,$A$681:$F$2272,6,FALSE)</f>
        <v>22</v>
      </c>
      <c r="F662" s="203" t="s">
        <v>67</v>
      </c>
      <c r="G662" s="10">
        <f>E662*1.2</f>
        <v>26.4</v>
      </c>
      <c r="H662" s="10"/>
      <c r="I662" s="268"/>
      <c r="J662" s="203" t="s">
        <v>118</v>
      </c>
      <c r="K662" s="277" t="s">
        <v>2076</v>
      </c>
      <c r="M662" s="204"/>
      <c r="N662" s="204">
        <f>VLOOKUP(K662,$A$681:$F$2272,6,FALSE)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2847</v>
      </c>
      <c r="V662" s="204"/>
      <c r="W662" s="204">
        <f>VLOOKUP(T662,$A$681:$F$2272,6,FALSE)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2642</v>
      </c>
      <c r="AE662" s="204"/>
      <c r="AF662" s="204">
        <f>VLOOKUP(AC662,$A$681:$F$2272,6,FALSE)</f>
        <v>56</v>
      </c>
      <c r="AG662" s="203" t="s">
        <v>67</v>
      </c>
      <c r="AH662" s="10">
        <f>AF662*1.2</f>
        <v>67.2</v>
      </c>
      <c r="AI662" s="10"/>
      <c r="AJ662" s="268"/>
      <c r="AK662" s="203" t="s">
        <v>118</v>
      </c>
      <c r="AL662" s="277" t="s">
        <v>2343</v>
      </c>
      <c r="AN662" s="204"/>
      <c r="AO662" s="204">
        <f>VLOOKUP(AL662,$A$681:$F$2272,6,FALSE)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2092</v>
      </c>
      <c r="AW662" s="204"/>
      <c r="AX662" s="204">
        <f>VLOOKUP(AU662,$A$681:$F$2272,6,FALSE)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2075</v>
      </c>
      <c r="BF662" s="204"/>
      <c r="BG662" s="204">
        <f>VLOOKUP(BD662,$A$681:$F$2272,6,FALSE)</f>
        <v>8</v>
      </c>
      <c r="BH662" s="203" t="s">
        <v>67</v>
      </c>
      <c r="BI662" s="10">
        <f>BG662*1.2</f>
        <v>9.6</v>
      </c>
      <c r="BJ662" s="10"/>
      <c r="BK662" s="268"/>
      <c r="BL662" s="203" t="s">
        <v>118</v>
      </c>
      <c r="BM662" s="277" t="s">
        <v>2847</v>
      </c>
      <c r="BO662" s="204"/>
      <c r="BP662" s="204">
        <f>VLOOKUP(BM662,$A$681:$F$2272,6,FALSE)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2065</v>
      </c>
      <c r="BX662" s="204"/>
      <c r="BY662" s="204">
        <f>VLOOKUP(BV662,$A$681:$F$2272,6,FALSE)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2075</v>
      </c>
      <c r="CG662" s="204"/>
      <c r="CH662" s="204">
        <f>VLOOKUP(CE662,$A$681:$F$2272,6,FALSE)</f>
        <v>8</v>
      </c>
      <c r="CI662" s="203" t="s">
        <v>67</v>
      </c>
      <c r="CJ662" s="10">
        <f>CH662*1.2</f>
        <v>9.6</v>
      </c>
      <c r="CK662" s="10"/>
      <c r="CL662" s="268"/>
      <c r="CM662" s="203" t="s">
        <v>118</v>
      </c>
      <c r="CN662" s="277" t="s">
        <v>2554</v>
      </c>
      <c r="CP662" s="204"/>
      <c r="CQ662" s="204">
        <f>VLOOKUP(CN662,$A$681:$F$2272,6,FALSE)</f>
        <v>22</v>
      </c>
      <c r="CR662" s="203" t="s">
        <v>67</v>
      </c>
      <c r="CS662" s="10">
        <f>CQ662*1.2</f>
        <v>26.4</v>
      </c>
      <c r="CT662" s="10"/>
      <c r="CU662" s="268"/>
      <c r="CV662" s="203" t="s">
        <v>118</v>
      </c>
      <c r="CW662" s="277" t="s">
        <v>2344</v>
      </c>
      <c r="CY662" s="204"/>
      <c r="CZ662" s="204">
        <f>VLOOKUP(CW662,$A$681:$F$2272,6,FALSE)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2344</v>
      </c>
      <c r="DH662" s="204"/>
      <c r="DI662" s="204">
        <f>VLOOKUP(DF662,$A$681:$F$2272,6,FALSE)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VLOOKUP(DO662,$A$681:$F$2272,6,FALSE)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VLOOKUP(DX662,$A$681:$F$2272,6,FALSE)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VLOOKUP(EG662,$A$681:$F$2272,6,FALSE)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2554</v>
      </c>
      <c r="ER662" s="204"/>
      <c r="ES662" s="204">
        <f>VLOOKUP(EP662,$A$681:$F$2272,6,FALSE)</f>
        <v>22</v>
      </c>
      <c r="ET662" s="203" t="s">
        <v>67</v>
      </c>
      <c r="EU662" s="10">
        <f>ES662*1.2</f>
        <v>26.4</v>
      </c>
      <c r="EV662" s="10"/>
      <c r="EW662" s="268"/>
      <c r="EX662" s="203" t="s">
        <v>118</v>
      </c>
      <c r="EY662" s="277" t="s">
        <v>2076</v>
      </c>
      <c r="FA662" s="204"/>
      <c r="FB662" s="204">
        <f>VLOOKUP(EY659,$A$681:$F$2272,6,FALSE)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2" t="s">
        <v>2847</v>
      </c>
      <c r="FJ662" s="204"/>
      <c r="FK662" s="204">
        <f>VLOOKUP(FH662,$A$681:$F$2272,6,FALSE)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VLOOKUP(FQ662,$A$681:$F$2272,6,FALSE)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2344</v>
      </c>
      <c r="GB662" s="204"/>
      <c r="GC662" s="204">
        <f>VLOOKUP(FZ662,$A$681:$F$2272,6,FALSE)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VLOOKUP(GI662,$A$681:$F$2272,6,FALSE)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VLOOKUP(GR662,$A$681:$F$2272,6,FALSE)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VLOOKUP(HA662,$A$681:$F$2272,6,FALSE)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2092</v>
      </c>
      <c r="HL662" s="204"/>
      <c r="HM662" s="204">
        <f>VLOOKUP(HJ662,$A$681:$F$2272,6,FALSE)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2629</v>
      </c>
      <c r="HU662" s="204"/>
      <c r="HV662" s="204">
        <f>VLOOKUP(HS662,$A$681:$F$2272,6,FALSE)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VLOOKUP(IB662,$A$681:$F$2272,6,FALSE)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2346</v>
      </c>
      <c r="IM662" s="204"/>
      <c r="IN662" s="204">
        <f>VLOOKUP(IK662,$A$681:$F$2272,6,FALSE)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2847</v>
      </c>
      <c r="IV662" s="204"/>
      <c r="IW662" s="204">
        <f>VLOOKUP(IT662,$A$681:$F$2272,6,FALSE)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VLOOKUP(JC662,$A$681:$F$2272,6,FALSE)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VLOOKUP(JL662,$A$681:$F$2272,6,FALSE)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VLOOKUP(JU662,$A$681:$F$2272,6,FALSE)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VLOOKUP(KD662,$A$681:$F$2272,6,FALSE)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VLOOKUP(KM662,$A$681:$F$2272,6,FALSE)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VLOOKUP(KV662,$A$681:$F$2272,6,FALSE)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2798</v>
      </c>
      <c r="LG662" s="204"/>
      <c r="LH662" s="204">
        <f>VLOOKUP(LE662,$A$681:$F$2272,6,FALSE)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VLOOKUP(LN662,$A$681:$F$2272,6,FALSE)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2642</v>
      </c>
      <c r="LY662" s="204"/>
      <c r="LZ662" s="204">
        <f>VLOOKUP(LW662,$A$681:$F$2272,6,FALSE)</f>
        <v>56</v>
      </c>
      <c r="MA662" s="203" t="s">
        <v>67</v>
      </c>
      <c r="MB662" s="10">
        <f>LZ662*1.2</f>
        <v>67.2</v>
      </c>
      <c r="MC662" s="10"/>
      <c r="MD662" s="268"/>
      <c r="ME662" s="203" t="s">
        <v>118</v>
      </c>
      <c r="MF662" s="277" t="s">
        <v>2075</v>
      </c>
      <c r="MH662" s="204"/>
      <c r="MI662" s="204">
        <f>VLOOKUP(MF662,$A$681:$F$2272,6,FALSE)</f>
        <v>8</v>
      </c>
      <c r="MJ662" s="203" t="s">
        <v>67</v>
      </c>
      <c r="MK662" s="10">
        <f>MI662*1.2</f>
        <v>9.6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VLOOKUP(MO662,$A$681:$F$2272,6,FALSE)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VLOOKUP(MX662,$A$681:$F$2272,6,FALSE)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2776</v>
      </c>
      <c r="NI662" s="204"/>
      <c r="NJ662" s="204">
        <f>VLOOKUP(NG662,$A$681:$F$2272,6,FALSE)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5" t="s">
        <v>2065</v>
      </c>
      <c r="NR662" s="204"/>
      <c r="NS662" s="204">
        <f>VLOOKUP(NP662,$A$681:$F$2272,6,FALSE)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VLOOKUP(NY662,$A$681:$F$2272,6,FALSE)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VLOOKUP(OH662,$A$681:$F$2272,6,FALSE)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VLOOKUP(OQ662,$A$681:$F$2272,6,FALSE)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2092</v>
      </c>
      <c r="PB662" s="204"/>
      <c r="PC662" s="204">
        <f>VLOOKUP(OZ662,$A$681:$F$2272,6,FALSE)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2344</v>
      </c>
      <c r="PK662" s="204"/>
      <c r="PL662" s="204">
        <f>VLOOKUP(PI662,$A$681:$F$2272,6,FALSE)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VLOOKUP(PR662,$A$681:$F$2272,6,FALSE)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VLOOKUP(QA662,$A$681:$F$2272,6,FALSE)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VLOOKUP(QJ662,$A$681:$F$2272,6,FALSE)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2092</v>
      </c>
      <c r="QU662" s="204"/>
      <c r="QV662" s="204">
        <f>VLOOKUP(QS662,$A$681:$F$2272,6,FALSE)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2596</v>
      </c>
      <c r="RD662" s="204"/>
      <c r="RE662" s="204">
        <f>VLOOKUP(RB662,$A$681:$F$2272,6,FALSE)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VLOOKUP(RK662,$A$681:$F$2272,6,FALSE)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2075</v>
      </c>
      <c r="RV662" s="204"/>
      <c r="RW662" s="204">
        <f>VLOOKUP(RT662,$A$681:$F$2272,6,FALSE)</f>
        <v>8</v>
      </c>
      <c r="RX662" s="203" t="s">
        <v>67</v>
      </c>
      <c r="RY662" s="10">
        <f>RW662*1.2</f>
        <v>9.6</v>
      </c>
      <c r="RZ662" s="10"/>
      <c r="SA662" s="274"/>
      <c r="SB662" s="203" t="s">
        <v>118</v>
      </c>
      <c r="SC662" s="277" t="s">
        <v>2847</v>
      </c>
      <c r="SE662" s="204"/>
      <c r="SF662" s="204">
        <f>VLOOKUP(SC662,$A$681:$F$2272,6,FALSE)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2800</v>
      </c>
      <c r="SN662" s="204"/>
      <c r="SO662" s="204">
        <f>VLOOKUP(SL662,$A$681:$F$2272,6,FALSE)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2749</v>
      </c>
      <c r="SW662" s="204"/>
      <c r="SX662" s="204">
        <f>VLOOKUP(SU662,$A$681:$F$2272,6,FALSE)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2679</v>
      </c>
      <c r="TF662" s="204"/>
      <c r="TG662" s="204">
        <f>VLOOKUP(TD662,$A$681:$F$2272,6,FALSE)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2800</v>
      </c>
      <c r="TO662" s="204"/>
      <c r="TP662" s="204">
        <f>VLOOKUP(TM662,$A$681:$F$2272,6,FALSE)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2095</v>
      </c>
      <c r="TX662" s="204"/>
      <c r="TY662" s="204">
        <f>VLOOKUP(TV662,$A$681:$F$2272,6,FALSE)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VLOOKUP(UE662,$A$681:$F$2272,6,FALSE)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VLOOKUP(UN662,$A$681:$F$2272,6,FALSE)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2065</v>
      </c>
      <c r="UY662" s="204"/>
      <c r="UZ662" s="204">
        <f>VLOOKUP(UW662,$A$681:$F$2272,6,FALSE)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2346</v>
      </c>
      <c r="VH662" s="204"/>
      <c r="VI662" s="204">
        <f>VLOOKUP(VF662,$A$681:$F$2272,6,FALSE)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2596</v>
      </c>
      <c r="VQ662" s="204"/>
      <c r="VR662" s="204">
        <f>VLOOKUP(VO662,$A$681:$F$2272,6,FALSE)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VLOOKUP(VX662,$A$681:$F$2272,6,FALSE)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3109</v>
      </c>
      <c r="WI662" s="204"/>
      <c r="WJ662" s="204">
        <f>VLOOKUP(WG662,$A$681:$F$2272,6,FALSE)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VLOOKUP(WP662,$A$681:$F$2272,6,FALSE)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VLOOKUP(WY662,$A$681:$F$2272,6,FALSE)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2554</v>
      </c>
      <c r="XJ662" s="204"/>
      <c r="XK662" s="204">
        <f>VLOOKUP(XH662,$A$681:$F$2272,6,FALSE)</f>
        <v>22</v>
      </c>
      <c r="XL662" s="203" t="s">
        <v>67</v>
      </c>
      <c r="XM662" s="10">
        <f>XK662*1.2</f>
        <v>26.4</v>
      </c>
      <c r="XO662" s="274"/>
      <c r="XP662" s="203" t="s">
        <v>118</v>
      </c>
      <c r="XQ662" s="277" t="s">
        <v>952</v>
      </c>
      <c r="XS662" s="204"/>
      <c r="XT662" s="204">
        <f>VLOOKUP(XQ662,$A$681:$F$2272,6,FALSE)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VLOOKUP(XZ662,$A$681:$F$2272,6,FALSE)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VLOOKUP(YI662,$A$681:$F$2272,6,FALSE)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VLOOKUP(YR662,$A$681:$F$2272,6,FALSE)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VLOOKUP(ZA662,$A$681:$F$2272,6,FALSE)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VLOOKUP(ZJ662,$A$681:$F$2272,6,FALSE)</f>
        <v>1</v>
      </c>
      <c r="ZN662" s="203" t="s">
        <v>67</v>
      </c>
      <c r="ZO662" s="10">
        <f>ZM662*1.2</f>
        <v>1.2</v>
      </c>
      <c r="ZQ662" s="274"/>
      <c r="ZR662" s="203" t="s">
        <v>118</v>
      </c>
      <c r="ZS662" s="277" t="s">
        <v>2092</v>
      </c>
      <c r="ZU662" s="204"/>
      <c r="ZV662" s="204">
        <f>VLOOKUP(ZS662,$A$681:$F$2272,6,FALSE)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2800</v>
      </c>
      <c r="AAD662" s="204"/>
      <c r="AAE662" s="204">
        <f>VLOOKUP(AAB662,$A$681:$F$2272,6,FALSE)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2076</v>
      </c>
      <c r="AAM662" s="204"/>
      <c r="AAN662" s="204">
        <f>VLOOKUP(AAK662,$A$681:$F$2272,6,FALSE)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VLOOKUP(AAT662,$A$681:$F$2272,6,FALSE)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VLOOKUP(ABC662,$A$681:$F$2272,6,FALSE)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VLOOKUP(ABL662,$A$681:$F$2272,6,FALSE)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VLOOKUP(ABU662,$A$681:$F$2272,6,FALSE)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VLOOKUP(ACD662,$A$681:$F$2272,6,FALSE)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VLOOKUP(ACM662,$A$681:$F$2272,6,FALSE)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VLOOKUP(ACV662,$A$681:$F$2272,6,FALSE)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VLOOKUP(ADE662,$A$681:$F$2272,6,FALSE)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VLOOKUP(ADN662,$A$681:$F$2272,6,FALSE)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VLOOKUP(ADW662,$A$681:$F$2272,6,FALSE)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VLOOKUP(AEF662,$A$681:$F$2272,6,FALSE)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VLOOKUP(AEO662,$A$681:$F$2272,6,FALSE)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VLOOKUP(AEX662,$A$681:$F$2272,6,FALSE)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VLOOKUP(AFG662,$A$681:$F$2272,6,FALSE)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VLOOKUP(AFP662,$A$681:$F$2272,6,FALSE)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VLOOKUP(AFY662,$A$681:$F$2272,6,FALSE)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VLOOKUP(AGH662,$A$681:$F$2272,6,FALSE)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VLOOKUP(AGQ662,$A$681:$F$2272,6,FALSE)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VLOOKUP(AGZ662,$A$681:$F$2272,6,FALSE)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VLOOKUP(AHI662,$A$681:$F$2272,6,FALSE)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2092</v>
      </c>
      <c r="AHT662" s="204"/>
      <c r="AHU662" s="204">
        <f>VLOOKUP(AHR662,$A$681:$F$2272,6,FALSE)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2075</v>
      </c>
      <c r="AIC662" s="204"/>
      <c r="AID662" s="204">
        <f>VLOOKUP(AIA662,$A$681:$F$2272,6,FALSE)</f>
        <v>8</v>
      </c>
      <c r="AIE662" s="203" t="s">
        <v>67</v>
      </c>
      <c r="AIF662" s="10">
        <f>AID662*1.2</f>
        <v>9.6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VLOOKUP(AIJ662,$A$681:$F$2272,6,FALSE)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2326</v>
      </c>
      <c r="AIU662" s="204"/>
      <c r="AIV662" s="204">
        <f>VLOOKUP(AIS662,$A$681:$F$2272,6,FALSE)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VLOOKUP(AJB662,$A$681:$F$2272,6,FALSE)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VLOOKUP(AJK662,$A$681:$F$2272,6,FALSE)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VLOOKUP(AJT662,$A$681:$F$2272,6,FALSE)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2776</v>
      </c>
      <c r="AKE662" s="204"/>
      <c r="AKF662" s="204">
        <f>VLOOKUP(AKC662,$A$681:$F$2272,6,FALSE)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2642</v>
      </c>
      <c r="AKN662" s="204"/>
      <c r="AKO662" s="204">
        <f>VLOOKUP(AKL662,$A$681:$F$2272,6,FALSE)</f>
        <v>56</v>
      </c>
      <c r="AKP662" s="203" t="s">
        <v>67</v>
      </c>
      <c r="AKQ662" s="10">
        <f>AKO662*1.2</f>
        <v>67.2</v>
      </c>
      <c r="AKR662" s="10"/>
      <c r="AKS662" s="274"/>
      <c r="AKT662" s="203" t="s">
        <v>118</v>
      </c>
      <c r="AKU662" s="277" t="s">
        <v>2316</v>
      </c>
      <c r="AKW662" s="204"/>
      <c r="AKX662" s="204">
        <f>VLOOKUP(AKU662,$A$681:$F$2272,6,FALSE)</f>
        <v>14</v>
      </c>
      <c r="AKY662" s="203" t="s">
        <v>67</v>
      </c>
      <c r="AKZ662" s="10">
        <f>AKX662*1.2</f>
        <v>16.8</v>
      </c>
      <c r="ALA662" s="10"/>
      <c r="ALB662" s="274"/>
      <c r="ALC662" s="203" t="s">
        <v>118</v>
      </c>
      <c r="ALD662" s="277" t="s">
        <v>2319</v>
      </c>
      <c r="ALF662" s="204"/>
      <c r="ALG662" s="204">
        <f>VLOOKUP(ALD662,$A$681:$F$2272,6,FALSE)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2065</v>
      </c>
      <c r="ALO662" s="204"/>
      <c r="ALP662" s="204">
        <f>VLOOKUP(ALM662,$A$681:$F$2272,6,FALSE)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VLOOKUP(ALV662,$A$681:$F$2272,6,FALSE)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2092</v>
      </c>
      <c r="AMG662" s="204"/>
      <c r="AMH662" s="204">
        <f>VLOOKUP(AME662,$A$681:$F$2272,6,FALSE)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VLOOKUP(AMN662,$A$681:$F$2272,6,FALSE)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2642</v>
      </c>
      <c r="AMY662" s="204"/>
      <c r="AMZ662" s="204">
        <f>VLOOKUP(AMW662,$A$681:$F$2272,6,FALSE)</f>
        <v>56</v>
      </c>
      <c r="ANA662" s="203" t="s">
        <v>67</v>
      </c>
      <c r="ANB662" s="10">
        <f>AMZ662*1.2</f>
        <v>67.2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VLOOKUP(ANF662,$A$681:$F$2272,6,FALSE)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VLOOKUP(ANO662,$A$681:$F$2272,6,FALSE)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VLOOKUP(ANX662,$A$681:$F$2272,6,FALSE)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VLOOKUP(AOG662,$A$681:$F$2272,6,FALSE)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2776</v>
      </c>
      <c r="AOR662" s="204"/>
      <c r="AOS662" s="204">
        <f>VLOOKUP(AOP662,$A$681:$F$2272,6,FALSE)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VLOOKUP(AOY662,$A$681:$F$2272,6,FALSE)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VLOOKUP(APH662,$A$681:$F$2272,6,FALSE)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2679</v>
      </c>
      <c r="APS662" s="204"/>
      <c r="APT662" s="204">
        <f>VLOOKUP(APQ662,$A$681:$F$2272,6,FALSE)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VLOOKUP(APZ662,$A$681:$F$2272,6,FALSE)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2065</v>
      </c>
      <c r="D663" s="204"/>
      <c r="E663" s="204">
        <f>VLOOKUP(B663,$A$681:$F$2272,6,FALSE)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2344</v>
      </c>
      <c r="M663" s="204"/>
      <c r="N663" s="204">
        <f>VLOOKUP(K663,$A$681:$F$2272,6,FALSE)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2092</v>
      </c>
      <c r="V663" s="204"/>
      <c r="W663" s="204">
        <f>VLOOKUP(T663,$A$681:$F$2272,6,FALSE)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VLOOKUP(AC663,$A$681:$F$2272,6,FALSE)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2554</v>
      </c>
      <c r="AN663" s="204"/>
      <c r="AO663" s="204">
        <f>VLOOKUP(AL663,$A$681:$F$2272,6,FALSE)</f>
        <v>22</v>
      </c>
      <c r="AP663" s="203" t="s">
        <v>69</v>
      </c>
      <c r="AQ663" s="10">
        <f>AO663*1.1</f>
        <v>24.200000000000003</v>
      </c>
      <c r="AR663" s="10"/>
      <c r="AS663" s="268"/>
      <c r="AT663" s="203" t="s">
        <v>119</v>
      </c>
      <c r="AU663" s="277" t="s">
        <v>2518</v>
      </c>
      <c r="AW663" s="204"/>
      <c r="AX663" s="204">
        <f>VLOOKUP(AU663,$A$681:$F$2272,6,FALSE)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2095</v>
      </c>
      <c r="BF663" s="204"/>
      <c r="BG663" s="204">
        <f>VLOOKUP(BD663,$A$681:$F$2272,6,FALSE)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2518</v>
      </c>
      <c r="BO663" s="204"/>
      <c r="BP663" s="204">
        <f>VLOOKUP(BM663,$A$681:$F$2272,6,FALSE)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2344</v>
      </c>
      <c r="BX663" s="204"/>
      <c r="BY663" s="204">
        <f>VLOOKUP(BV663,$A$681:$F$2272,6,FALSE)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2518</v>
      </c>
      <c r="CG663" s="204"/>
      <c r="CH663" s="204">
        <f>VLOOKUP(CE663,$A$681:$F$2272,6,FALSE)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2095</v>
      </c>
      <c r="CP663" s="204"/>
      <c r="CQ663" s="204">
        <f>VLOOKUP(CN663,$A$681:$F$2272,6,FALSE)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2076</v>
      </c>
      <c r="CY663" s="204"/>
      <c r="CZ663" s="204">
        <f>VLOOKUP(CW663,$A$681:$F$2272,6,FALSE)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VLOOKUP(DF663,$A$681:$F$2272,6,FALSE)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VLOOKUP(DO663,$A$681:$F$2272,6,FALSE)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VLOOKUP(DX663,$A$681:$F$2272,6,FALSE)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VLOOKUP(EG663,$A$681:$F$2272,6,FALSE)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2847</v>
      </c>
      <c r="ER663" s="204"/>
      <c r="ES663" s="204">
        <f>VLOOKUP(EP663,$A$681:$F$2272,6,FALSE)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VLOOKUP(EY663,$A$681:$F$2272,6,FALSE)</f>
        <v>43</v>
      </c>
      <c r="FC663" s="203" t="s">
        <v>69</v>
      </c>
      <c r="FD663" s="10">
        <f>FB663*1.1</f>
        <v>47.300000000000004</v>
      </c>
      <c r="FE663" s="10"/>
      <c r="FF663" s="268"/>
      <c r="FG663" s="203" t="s">
        <v>119</v>
      </c>
      <c r="FH663" s="422" t="s">
        <v>2075</v>
      </c>
      <c r="FJ663" s="204"/>
      <c r="FK663" s="204">
        <f>VLOOKUP(FH663,$A$681:$F$2272,6,FALSE)</f>
        <v>8</v>
      </c>
      <c r="FL663" s="203" t="s">
        <v>69</v>
      </c>
      <c r="FM663" s="10">
        <f>FK663*1.1</f>
        <v>8.8000000000000007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VLOOKUP(FQ663,$A$681:$F$2272,6,FALSE)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2800</v>
      </c>
      <c r="GB663" s="204"/>
      <c r="GC663" s="204">
        <f>VLOOKUP(FZ663,$A$681:$F$2272,6,FALSE)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VLOOKUP(GI663,$A$681:$F$2272,6,FALSE)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2847</v>
      </c>
      <c r="GT663" s="204"/>
      <c r="GU663" s="204">
        <f>VLOOKUP(GR663,$A$681:$F$2272,6,FALSE)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VLOOKUP(HA663,$A$681:$F$2272,6,FALSE)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2847</v>
      </c>
      <c r="HL663" s="204"/>
      <c r="HM663" s="204">
        <f>VLOOKUP(HJ663,$A$681:$F$2272,6,FALSE)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VLOOKUP(HS663,$A$681:$F$2272,6,FALSE)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VLOOKUP(IB663,$A$681:$F$2272,6,FALSE)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2343</v>
      </c>
      <c r="IM663" s="204"/>
      <c r="IN663" s="204">
        <f>VLOOKUP(IK663,$A$681:$F$2272,6,FALSE)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VLOOKUP(IT663,$A$681:$F$2272,6,FALSE)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VLOOKUP(JC663,$A$681:$F$2272,6,FALSE)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2343</v>
      </c>
      <c r="JN663" s="204"/>
      <c r="JO663" s="204">
        <f>VLOOKUP(JL663,$A$681:$F$2272,6,FALSE)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VLOOKUP(JU663,$A$681:$F$2272,6,FALSE)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VLOOKUP(KD663,$A$681:$F$2272,6,FALSE)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2798</v>
      </c>
      <c r="KO663" s="204"/>
      <c r="KP663" s="204">
        <f>VLOOKUP(KM663,$A$681:$F$2272,6,FALSE)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2344</v>
      </c>
      <c r="KX663" s="204"/>
      <c r="KY663" s="204">
        <f>VLOOKUP(KV663,$A$681:$F$2272,6,FALSE)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1835</v>
      </c>
      <c r="LG663" s="204"/>
      <c r="LH663" s="204">
        <f>VLOOKUP(LE663,$A$681:$F$2272,6,FALSE)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2065</v>
      </c>
      <c r="LP663" s="204"/>
      <c r="LQ663" s="204">
        <f>VLOOKUP(LN663,$A$681:$F$2272,6,FALSE)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VLOOKUP(LW663,$A$681:$F$2272,6,FALSE)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2847</v>
      </c>
      <c r="MH663" s="204"/>
      <c r="MI663" s="204">
        <f>VLOOKUP(MF663,$A$681:$F$2272,6,FALSE)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3151</v>
      </c>
      <c r="MQ663" s="204"/>
      <c r="MR663" s="204">
        <f>VLOOKUP(MO663,$A$681:$F$2272,6,FALSE)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2776</v>
      </c>
      <c r="MZ663" s="204"/>
      <c r="NA663" s="204">
        <f>VLOOKUP(MX663,$A$681:$F$2272,6,FALSE)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2803</v>
      </c>
      <c r="NI663" s="204"/>
      <c r="NJ663" s="204">
        <f>VLOOKUP(NG663,$A$681:$F$2272,6,FALSE)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VLOOKUP(NP663,$A$681:$F$2272,6,FALSE)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VLOOKUP(NY663,$A$681:$F$2272,6,FALSE)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VLOOKUP(OH663,$A$681:$F$2272,6,FALSE)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2344</v>
      </c>
      <c r="OS663" s="204"/>
      <c r="OT663" s="204">
        <f>VLOOKUP(OQ663,$A$681:$F$2272,6,FALSE)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2847</v>
      </c>
      <c r="PB663" s="204"/>
      <c r="PC663" s="204">
        <f>VLOOKUP(OZ663,$A$681:$F$2272,6,FALSE)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2075</v>
      </c>
      <c r="PK663" s="204"/>
      <c r="PL663" s="204">
        <f>VLOOKUP(PI663,$A$681:$F$2272,6,FALSE)</f>
        <v>8</v>
      </c>
      <c r="PM663" s="203" t="s">
        <v>69</v>
      </c>
      <c r="PN663" s="10">
        <f>PL663*1.1</f>
        <v>8.8000000000000007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VLOOKUP(PR663,$A$681:$F$2272,6,FALSE)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2092</v>
      </c>
      <c r="QC663" s="204"/>
      <c r="QD663" s="204">
        <f>VLOOKUP(QA663,$A$681:$F$2272,6,FALSE)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2097</v>
      </c>
      <c r="QL663" s="204"/>
      <c r="QM663" s="204">
        <f>VLOOKUP(QJ663,$A$681:$F$2272,6,FALSE)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VLOOKUP(QS663,$A$681:$F$2272,6,FALSE)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2516</v>
      </c>
      <c r="RD663" s="204"/>
      <c r="RE663" s="204">
        <f>VLOOKUP(RB663,$A$681:$F$2272,6,FALSE)</f>
        <v>11</v>
      </c>
      <c r="RF663" s="203" t="s">
        <v>69</v>
      </c>
      <c r="RG663" s="10">
        <f>RE663*1.1</f>
        <v>12.100000000000001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VLOOKUP(RK663,$A$681:$F$2272,6,FALSE)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VLOOKUP(RT663,$A$681:$F$2272,6,FALSE)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VLOOKUP(SC663,$A$681:$F$2272,6,FALSE)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2343</v>
      </c>
      <c r="SN663" s="204"/>
      <c r="SO663" s="204">
        <f>VLOOKUP(SL663,$A$681:$F$2272,6,FALSE)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VLOOKUP(SU663,$A$681:$F$2272,6,FALSE)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VLOOKUP(TD663,$A$681:$F$2272,6,FALSE)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858</v>
      </c>
      <c r="TO663" s="204"/>
      <c r="TP663" s="204">
        <f>VLOOKUP(TM663,$A$681:$F$2272,6,FALSE)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2732</v>
      </c>
      <c r="TX663" s="204"/>
      <c r="TY663" s="204">
        <f>VLOOKUP(TV663,$A$681:$F$2272,6,FALSE)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VLOOKUP(UE663,$A$681:$F$2272,6,FALSE)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2076</v>
      </c>
      <c r="UP663" s="204"/>
      <c r="UQ663" s="204">
        <f>VLOOKUP(UN663,$A$681:$F$2272,6,FALSE)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2583</v>
      </c>
      <c r="UY663" s="204"/>
      <c r="UZ663" s="204">
        <f>VLOOKUP(UW663,$A$681:$F$2272,6,FALSE)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VLOOKUP(VF663,$A$681:$F$2272,6,FALSE)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VLOOKUP(VO663,$A$681:$F$2272,6,FALSE)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VLOOKUP(VX663,$A$681:$F$2272,6,FALSE)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VLOOKUP(WG663,$A$681:$F$2272,6,FALSE)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VLOOKUP(WP663,$A$681:$F$2272,6,FALSE)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VLOOKUP(WY663,$A$681:$F$2272,6,FALSE)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VLOOKUP(XH663,$A$681:$F$2272,6,FALSE)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VLOOKUP(XQ663,$A$681:$F$2272,6,FALSE)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2076</v>
      </c>
      <c r="YB663" s="204"/>
      <c r="YC663" s="204">
        <f>VLOOKUP(XZ663,$A$681:$F$2272,6,FALSE)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VLOOKUP(YI663,$A$681:$F$2272,6,FALSE)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VLOOKUP(YR663,$A$681:$F$2272,6,FALSE)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1835</v>
      </c>
      <c r="ZC663" s="204"/>
      <c r="ZD663" s="204">
        <f>VLOOKUP(ZA663,$A$681:$F$2272,6,FALSE)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700</v>
      </c>
      <c r="ZL663" s="204"/>
      <c r="ZM663" s="204">
        <f>VLOOKUP(ZJ663,$A$681:$F$2272,6,FALSE)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VLOOKUP(ZS663,$A$681:$F$2272,6,FALSE)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2518</v>
      </c>
      <c r="AAD663" s="204"/>
      <c r="AAE663" s="204">
        <f>VLOOKUP(AAB663,$A$681:$F$2272,6,FALSE)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VLOOKUP(AAK663,$A$681:$F$2272,6,FALSE)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VLOOKUP(AAT663,$A$681:$F$2272,6,FALSE)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VLOOKUP(ABC663,$A$681:$F$2272,6,FALSE)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VLOOKUP(ABL663,$A$681:$F$2272,6,FALSE)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2346</v>
      </c>
      <c r="ABW663" s="204"/>
      <c r="ABX663" s="204">
        <f>VLOOKUP(ABU663,$A$681:$F$2272,6,FALSE)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VLOOKUP(ACD663,$A$681:$F$2272,6,FALSE)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VLOOKUP(ACM663,$A$681:$F$2272,6,FALSE)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VLOOKUP(ACV663,$A$681:$F$2272,6,FALSE)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VLOOKUP(ADE663,$A$681:$F$2272,6,FALSE)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VLOOKUP(ADN663,$A$681:$F$2272,6,FALSE)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VLOOKUP(ADW663,$A$681:$F$2272,6,FALSE)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VLOOKUP(AEF663,$A$681:$F$2272,6,FALSE)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VLOOKUP(AEO663,$A$681:$F$2272,6,FALSE)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VLOOKUP(AEX663,$A$681:$F$2272,6,FALSE)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VLOOKUP(AFG663,$A$681:$F$2272,6,FALSE)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VLOOKUP(AFP663,$A$681:$F$2272,6,FALSE)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VLOOKUP(AFY663,$A$681:$F$2272,6,FALSE)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VLOOKUP(AGH663,$A$681:$F$2272,6,FALSE)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VLOOKUP(AGQ663,$A$681:$F$2272,6,FALSE)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2847</v>
      </c>
      <c r="AHB663" s="204"/>
      <c r="AHC663" s="204">
        <f>VLOOKUP(AGZ663,$A$681:$F$2272,6,FALSE)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VLOOKUP(AHI663,$A$681:$F$2272,6,FALSE)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2076</v>
      </c>
      <c r="AHT663" s="204"/>
      <c r="AHU663" s="204">
        <f>VLOOKUP(AHR663,$A$681:$F$2272,6,FALSE)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2629</v>
      </c>
      <c r="AIC663" s="204"/>
      <c r="AID663" s="204">
        <f>VLOOKUP(AIA663,$A$681:$F$2272,6,FALSE)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VLOOKUP(AIJ663,$A$681:$F$2272,6,FALSE)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VLOOKUP(AIS663,$A$681:$F$2272,6,FALSE)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VLOOKUP(AJB663,$A$681:$F$2272,6,FALSE)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VLOOKUP(AJK663,$A$681:$F$2272,6,FALSE)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2076</v>
      </c>
      <c r="AJV663" s="204"/>
      <c r="AJW663" s="204">
        <f>VLOOKUP(AJT663,$A$681:$F$2272,6,FALSE)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3151</v>
      </c>
      <c r="AKE663" s="204"/>
      <c r="AKF663" s="204">
        <f>VLOOKUP(AKC663,$A$681:$F$2272,6,FALSE)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3151</v>
      </c>
      <c r="AKN663" s="204"/>
      <c r="AKO663" s="204">
        <f>VLOOKUP(AKL663,$A$681:$F$2272,6,FALSE)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VLOOKUP(AKU663,$A$681:$F$2272,6,FALSE)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VLOOKUP(ALD663,$A$681:$F$2272,6,FALSE)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VLOOKUP(ALM663,$A$681:$F$2272,6,FALSE)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VLOOKUP(ALV663,$A$681:$F$2272,6,FALSE)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VLOOKUP(AME663,$A$681:$F$2272,6,FALSE)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VLOOKUP(AMN663,$A$681:$F$2272,6,FALSE)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VLOOKUP(AMW663,$A$681:$F$2272,6,FALSE)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VLOOKUP(ANF663,$A$681:$F$2272,6,FALSE)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VLOOKUP(ANO663,$A$681:$F$2272,6,FALSE)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2587</v>
      </c>
      <c r="ANZ663" s="204"/>
      <c r="AOA663" s="204">
        <f>VLOOKUP(ANX663,$A$681:$F$2272,6,FALSE)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2344</v>
      </c>
      <c r="AOI663" s="204"/>
      <c r="AOJ663" s="204">
        <f>VLOOKUP(AOG663,$A$681:$F$2272,6,FALSE)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VLOOKUP(AOP663,$A$681:$F$2272,6,FALSE)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VLOOKUP(AOY663,$A$681:$F$2272,6,FALSE)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2610</v>
      </c>
      <c r="APJ663" s="204"/>
      <c r="APK663" s="204">
        <f>VLOOKUP(APH663,$A$681:$F$2272,6,FALSE)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2092</v>
      </c>
      <c r="APS663" s="204"/>
      <c r="APT663" s="204">
        <f>VLOOKUP(APQ663,$A$681:$F$2272,6,FALSE)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2092</v>
      </c>
      <c r="AQB663" s="204"/>
      <c r="AQC663" s="204">
        <f>VLOOKUP(APZ663,$A$681:$F$2272,6,FALSE)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170.29999999999998</v>
      </c>
      <c r="I664" s="268"/>
      <c r="J664" s="203"/>
      <c r="K664" s="415"/>
      <c r="M664" s="203"/>
      <c r="N664" s="203"/>
      <c r="O664" s="203"/>
      <c r="P664" s="10"/>
      <c r="Q664" s="10">
        <f>SUM(P659:P663)</f>
        <v>314.5</v>
      </c>
      <c r="R664" s="268"/>
      <c r="S664" s="203"/>
      <c r="T664" s="265"/>
      <c r="V664" s="203"/>
      <c r="W664" s="203"/>
      <c r="X664" s="203"/>
      <c r="Y664" s="10"/>
      <c r="Z664" s="10">
        <f>SUM(Y659:Y663)</f>
        <v>232.4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130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320.89999999999998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73.900000000000006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169.99999999999997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172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146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301.5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186.79999999999998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62.4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84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291.10000000000002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333.8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129.19999999999999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93.399999999999991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146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135.5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133.69999999999999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84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48.5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34.400000000000006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88.6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14.6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90.2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52.6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84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25.5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15.5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40.199999999999996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18.099999999999998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33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131.89999999999998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154.80000000000001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67.3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26.3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12.100000000000001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131.4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120.39999999999999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171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1.3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146.39999999999998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105.3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273.20000000000005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112.8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24.1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75.400000000000006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282.89999999999998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251.5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6.7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22.3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121.89999999999999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46.2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33.299999999999997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294.60000000000002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14.1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78.399999999999991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6.9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211.8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119.7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49.8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10.4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16.5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76.900000000000006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93.699999999999989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12.6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15.299999999999999</v>
      </c>
      <c r="AQG664" s="274"/>
    </row>
    <row r="665" spans="1:1125" s="14" customFormat="1" ht="15">
      <c r="A665" s="203" t="s">
        <v>120</v>
      </c>
      <c r="B665" s="277" t="s">
        <v>2846</v>
      </c>
      <c r="D665" s="284">
        <f>IF(C665="Kopman",2.2,1)</f>
        <v>1</v>
      </c>
      <c r="E665" s="204">
        <f>VLOOKUP(B665,$A$681:$F$2272,6,FALSE)</f>
        <v>82</v>
      </c>
      <c r="F665" s="203" t="s">
        <v>61</v>
      </c>
      <c r="G665" s="10">
        <f>E665*1.5</f>
        <v>123</v>
      </c>
      <c r="H665" s="10"/>
      <c r="I665" s="268"/>
      <c r="J665" s="203" t="s">
        <v>120</v>
      </c>
      <c r="K665" s="277" t="s">
        <v>2527</v>
      </c>
      <c r="M665" s="284">
        <f>IF(L665="Kopman",2.2,1)</f>
        <v>1</v>
      </c>
      <c r="N665" s="204">
        <f>VLOOKUP(K665,$A$681:$F$2272,6,FALSE)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2846</v>
      </c>
      <c r="V665" s="284">
        <f>IF(U665="Kopman",2.2,1)</f>
        <v>1</v>
      </c>
      <c r="W665" s="204">
        <f>VLOOKUP(T665,$A$681:$F$2272,6,FALSE)</f>
        <v>82</v>
      </c>
      <c r="X665" s="203" t="s">
        <v>61</v>
      </c>
      <c r="Y665" s="10">
        <f>W665*1.5*V665</f>
        <v>123</v>
      </c>
      <c r="Z665" s="10"/>
      <c r="AA665" s="268"/>
      <c r="AB665" s="203" t="s">
        <v>120</v>
      </c>
      <c r="AC665" s="277" t="s">
        <v>2527</v>
      </c>
      <c r="AE665" s="284">
        <f>IF(AD665="Kopman",2.2,1)</f>
        <v>1</v>
      </c>
      <c r="AF665" s="204">
        <f>VLOOKUP(AC665,$A$681:$F$2272,6,FALSE)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VLOOKUP(AL665,$A$681:$F$2272,6,FALSE)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VLOOKUP(AU665,$A$681:$F$2272,6,FALSE)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VLOOKUP(BD665,$A$681:$F$2272,6,FALSE)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2846</v>
      </c>
      <c r="BO665" s="284">
        <f>IF(BN665="Kopman",2.2,1)</f>
        <v>1</v>
      </c>
      <c r="BP665" s="204">
        <f>VLOOKUP(BM665,$A$681:$F$2272,6,FALSE)</f>
        <v>82</v>
      </c>
      <c r="BQ665" s="203" t="s">
        <v>61</v>
      </c>
      <c r="BR665" s="10">
        <f>BP665*1.5*BO665</f>
        <v>123</v>
      </c>
      <c r="BS665" s="10"/>
      <c r="BT665" s="268"/>
      <c r="BU665" s="203" t="s">
        <v>120</v>
      </c>
      <c r="BV665" s="277" t="s">
        <v>2527</v>
      </c>
      <c r="BX665" s="284">
        <f>IF(BW665="Kopman",2.2,1)</f>
        <v>1</v>
      </c>
      <c r="BY665" s="204">
        <f>VLOOKUP(BV665,$A$681:$F$2272,6,FALSE)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2074</v>
      </c>
      <c r="CG665" s="284">
        <f>IF(CF665="Kopman",2.2,1)</f>
        <v>1</v>
      </c>
      <c r="CH665" s="204">
        <f>VLOOKUP(CE665,$A$681:$F$2272,6,FALSE)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2155</v>
      </c>
      <c r="CP665" s="284">
        <f>IF(CO665="Kopman",2.2,1)</f>
        <v>1</v>
      </c>
      <c r="CQ665" s="204">
        <f>VLOOKUP(CN665,$A$681:$F$2272,6,FALSE)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VLOOKUP(CW665,$A$681:$F$2272,6,FALSE)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2527</v>
      </c>
      <c r="DH665" s="284">
        <f>IF(DG665="Kopman",2.2,1)</f>
        <v>1</v>
      </c>
      <c r="DI665" s="204">
        <f>VLOOKUP(DF665,$A$681:$F$2272,6,FALSE)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2527</v>
      </c>
      <c r="DQ665" s="284">
        <f>IF(DP665="Kopman",2.2,1)</f>
        <v>1</v>
      </c>
      <c r="DR665" s="204">
        <f>VLOOKUP(DO665,$A$681:$F$2272,6,FALSE)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VLOOKUP(DX665,$A$681:$F$2272,6,FALSE)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2766</v>
      </c>
      <c r="EI665" s="284">
        <f>IF(EH665="Kopman",2.2,1)</f>
        <v>1</v>
      </c>
      <c r="EJ665" s="204">
        <f>VLOOKUP(EG665,$A$681:$F$2272,6,FALSE)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1848</v>
      </c>
      <c r="ER665" s="284">
        <f>IF(EQ665="Kopman",2.2,1)</f>
        <v>1</v>
      </c>
      <c r="ES665" s="204">
        <f>VLOOKUP(EP665,$A$681:$F$2272,6,FALSE)</f>
        <v>69</v>
      </c>
      <c r="ET665" s="203" t="s">
        <v>61</v>
      </c>
      <c r="EU665" s="10">
        <f>ES665*1.5*ER665</f>
        <v>103.5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VLOOKUP(EY665,$A$681:$F$2272,6,FALSE)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2527</v>
      </c>
      <c r="FJ665" s="284">
        <f>IF(FI665="Kopman",2.2,1)</f>
        <v>1</v>
      </c>
      <c r="FK665" s="204">
        <f>VLOOKUP(FH665,$A$681:$F$2272,6,FALSE)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VLOOKUP(FQ665,$A$681:$F$2272,6,FALSE)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VLOOKUP(FZ665,$A$681:$F$2272,6,FALSE)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2766</v>
      </c>
      <c r="GK665" s="284">
        <f>IF(GJ665="Kopman",2.2,1)</f>
        <v>1</v>
      </c>
      <c r="GL665" s="204">
        <f>VLOOKUP(GI665,$A$681:$F$2272,6,FALSE)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2527</v>
      </c>
      <c r="GT665" s="284">
        <f>IF(GS665="Kopman",2.2,1)</f>
        <v>1</v>
      </c>
      <c r="GU665" s="204">
        <f>VLOOKUP(GR665,$A$681:$F$2272,6,FALSE)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VLOOKUP(HA665,$A$681:$F$2272,6,FALSE)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VLOOKUP(HJ665,$A$681:$F$2272,6,FALSE)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2846</v>
      </c>
      <c r="HT665" s="416" t="s">
        <v>2023</v>
      </c>
      <c r="HU665" s="284">
        <f>IF(HT665="Kopman",2.2,1)</f>
        <v>2.2000000000000002</v>
      </c>
      <c r="HV665" s="204">
        <f>VLOOKUP(HS665,$A$681:$F$2272,6,FALSE)</f>
        <v>82</v>
      </c>
      <c r="HW665" s="203" t="s">
        <v>61</v>
      </c>
      <c r="HX665" s="10">
        <f>HV665*1.5*HU665</f>
        <v>270.60000000000002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VLOOKUP(IB665,$A$681:$F$2272,6,FALSE)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2714</v>
      </c>
      <c r="IM665" s="284">
        <f>IF(IL665="Kopman",2.2,1)</f>
        <v>1</v>
      </c>
      <c r="IN665" s="204">
        <f>VLOOKUP(IK665,$A$681:$F$2272,6,FALSE)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VLOOKUP(IT665,$A$681:$F$2272,6,FALSE)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VLOOKUP(JC665,$A$681:$F$2272,6,FALSE)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VLOOKUP(JL665,$A$681:$F$2272,6,FALSE)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2791</v>
      </c>
      <c r="JW665" s="284">
        <f>IF(JV665="Kopman",2.2,1)</f>
        <v>1</v>
      </c>
      <c r="JX665" s="204">
        <f>VLOOKUP(JU665,$A$681:$F$2272,6,FALSE)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VLOOKUP(KD665,$A$681:$F$2272,6,FALSE)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VLOOKUP(KM665,$A$681:$F$2272,6,FALSE)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2527</v>
      </c>
      <c r="KX665" s="284">
        <f>IF(KW665="Kopman",2.2,1)</f>
        <v>1</v>
      </c>
      <c r="KY665" s="204">
        <f>VLOOKUP(KV665,$A$681:$F$2272,6,FALSE)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2875</v>
      </c>
      <c r="LG665" s="284">
        <f>IF(LF665="Kopman",2.2,1)</f>
        <v>1</v>
      </c>
      <c r="LH665" s="204">
        <f>VLOOKUP(LE665,$A$681:$F$2272,6,FALSE)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VLOOKUP(LN665,$A$681:$F$2272,6,FALSE)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VLOOKUP(LW665,$A$681:$F$2272,6,FALSE)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VLOOKUP(MF665,$A$681:$F$2272,6,FALSE)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VLOOKUP(MO665,$A$681:$F$2272,6,FALSE)</f>
        <v>54</v>
      </c>
      <c r="MS665" s="203" t="s">
        <v>61</v>
      </c>
      <c r="MT665" s="10">
        <f>MR665*1.5*MQ665</f>
        <v>81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VLOOKUP(MX665,$A$681:$F$2272,6,FALSE)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VLOOKUP(NG665,$A$681:$F$2272,6,FALSE)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VLOOKUP(NP665,$A$681:$F$2272,6,FALSE)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2651</v>
      </c>
      <c r="OA665" s="284">
        <f>IF(NZ665="Kopman",2.2,1)</f>
        <v>1</v>
      </c>
      <c r="OB665" s="204">
        <f>VLOOKUP(NY665,$A$681:$F$2272,6,FALSE)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VLOOKUP(OH665,$A$681:$F$2272,6,FALSE)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2752</v>
      </c>
      <c r="OS665" s="284">
        <f>IF(OR665="Kopman",2.2,1)</f>
        <v>1</v>
      </c>
      <c r="OT665" s="204">
        <f>VLOOKUP(OQ665,$A$681:$F$2272,6,FALSE)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VLOOKUP(OZ665,$A$681:$F$2272,6,FALSE)</f>
        <v>114</v>
      </c>
      <c r="PD665" s="203" t="s">
        <v>61</v>
      </c>
      <c r="PE665" s="10">
        <f>PC665*1.5*PB665</f>
        <v>171</v>
      </c>
      <c r="PF665" s="10"/>
      <c r="PG665" s="268"/>
      <c r="PH665" s="203" t="s">
        <v>120</v>
      </c>
      <c r="PI665" s="277" t="s">
        <v>2527</v>
      </c>
      <c r="PK665" s="284">
        <f>IF(PJ665="Kopman",2.2,1)</f>
        <v>1</v>
      </c>
      <c r="PL665" s="204">
        <f>VLOOKUP(PI665,$A$681:$F$2272,6,FALSE)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VLOOKUP(PR665,$A$681:$F$2272,6,FALSE)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VLOOKUP(QA665,$A$681:$F$2272,6,FALSE)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VLOOKUP(QJ665,$A$681:$F$2272,6,FALSE)</f>
        <v>114</v>
      </c>
      <c r="QN665" s="203" t="s">
        <v>61</v>
      </c>
      <c r="QO665" s="10">
        <f>QM665*1.5*QL665</f>
        <v>171</v>
      </c>
      <c r="QP665" s="10"/>
      <c r="QQ665" s="268"/>
      <c r="QR665" s="203" t="s">
        <v>120</v>
      </c>
      <c r="QS665" s="277" t="s">
        <v>1850</v>
      </c>
      <c r="QU665" s="284">
        <f>IF(QT665="Kopman",2.2,1)</f>
        <v>1</v>
      </c>
      <c r="QV665" s="204">
        <f>VLOOKUP(QS665,$A$681:$F$2272,6,FALSE)</f>
        <v>1</v>
      </c>
      <c r="QW665" s="203" t="s">
        <v>61</v>
      </c>
      <c r="QX665" s="10">
        <f>QV665*1.5*QU665</f>
        <v>1.5</v>
      </c>
      <c r="QY665" s="10"/>
      <c r="QZ665" s="268"/>
      <c r="RA665" s="203" t="s">
        <v>120</v>
      </c>
      <c r="RB665" s="277" t="s">
        <v>2589</v>
      </c>
      <c r="RD665" s="284">
        <f>IF(RC665="Kopman",2.2,1)</f>
        <v>1</v>
      </c>
      <c r="RE665" s="204">
        <f>VLOOKUP(RB665,$A$681:$F$2272,6,FALSE)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VLOOKUP(RK665,$A$681:$F$2272,6,FALSE)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VLOOKUP(RT665,$A$681:$F$2272,6,FALSE)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VLOOKUP(SC665,$A$681:$F$2272,6,FALSE)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2846</v>
      </c>
      <c r="SN665" s="284">
        <f>IF(SM665="Kopman",2.2,1)</f>
        <v>1</v>
      </c>
      <c r="SO665" s="204">
        <f>VLOOKUP(SL665,$A$681:$F$2272,6,FALSE)</f>
        <v>82</v>
      </c>
      <c r="SP665" s="203" t="s">
        <v>61</v>
      </c>
      <c r="SQ665" s="10">
        <f>SO665*1.5*SN665</f>
        <v>123</v>
      </c>
      <c r="SR665" s="10"/>
      <c r="SS665" s="274"/>
      <c r="ST665" s="203" t="s">
        <v>120</v>
      </c>
      <c r="SU665" s="277" t="s">
        <v>2534</v>
      </c>
      <c r="SW665" s="284">
        <f>IF(SV665="Kopman",2.2,1)</f>
        <v>1</v>
      </c>
      <c r="SX665" s="204">
        <f>VLOOKUP(SU665,$A$681:$F$2272,6,FALSE)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VLOOKUP(TD665,$A$681:$F$2272,6,FALSE)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2081</v>
      </c>
      <c r="TO665" s="284">
        <f>IF(TN665="Kopman",2.2,1)</f>
        <v>1</v>
      </c>
      <c r="TP665" s="204">
        <f>VLOOKUP(TM665,$A$681:$F$2272,6,FALSE)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2023</v>
      </c>
      <c r="TX665" s="284">
        <f>IF(TW665="Kopman",2.2,1)</f>
        <v>2.2000000000000002</v>
      </c>
      <c r="TY665" s="204">
        <f>VLOOKUP(TV665,$A$681:$F$2272,6,FALSE)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VLOOKUP(UE665,$A$681:$F$2272,6,FALSE)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2691</v>
      </c>
      <c r="UP665" s="284">
        <f>IF(UO665="Kopman",2.2,1)</f>
        <v>1</v>
      </c>
      <c r="UQ665" s="204">
        <f>VLOOKUP(UN665,$A$681:$F$2272,6,FALSE)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VLOOKUP(UW665,$A$681:$F$2272,6,FALSE)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VLOOKUP(VF665,$A$681:$F$2272,6,FALSE)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VLOOKUP(VO665,$A$681:$F$2272,6,FALSE)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VLOOKUP(VX665,$A$681:$F$2272,6,FALSE)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2714</v>
      </c>
      <c r="WI665" s="284">
        <f>IF(WH665="Kopman",2.2,1)</f>
        <v>1</v>
      </c>
      <c r="WJ665" s="204">
        <f>VLOOKUP(WG665,$A$681:$F$2272,6,FALSE)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VLOOKUP(WP665,$A$681:$F$2272,6,FALSE)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VLOOKUP(WY665,$A$681:$F$2272,6,FALSE)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VLOOKUP(XH665,$A$681:$F$2272,6,FALSE)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VLOOKUP(XQ665,$A$681:$F$2272,6,FALSE)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2650</v>
      </c>
      <c r="YB665" s="284">
        <f>IF(YA665="Kopman",2.2,1)</f>
        <v>1</v>
      </c>
      <c r="YC665" s="204">
        <f>VLOOKUP(XZ665,$A$681:$F$2272,6,FALSE)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VLOOKUP(YI665,$A$681:$F$2272,6,FALSE)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VLOOKUP(YR665,$A$681:$F$2272,6,FALSE)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1848</v>
      </c>
      <c r="ZC665" s="284">
        <f>IF(ZB665="Kopman",2.2,1)</f>
        <v>1</v>
      </c>
      <c r="ZD665" s="204">
        <f>VLOOKUP(ZA665,$A$681:$F$2272,6,FALSE)</f>
        <v>69</v>
      </c>
      <c r="ZE665" s="203" t="s">
        <v>61</v>
      </c>
      <c r="ZF665" s="10">
        <f>ZD665*1.5</f>
        <v>103.5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VLOOKUP(ZJ665,$A$681:$F$2272,6,FALSE)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VLOOKUP(ZS665,$A$681:$F$2272,6,FALSE)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VLOOKUP(AAB665,$A$681:$F$2272,6,FALSE)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2553</v>
      </c>
      <c r="AAM665" s="284">
        <f>IF(AAL665="Kopman",2.2,1)</f>
        <v>1</v>
      </c>
      <c r="AAN665" s="204">
        <f>VLOOKUP(AAK665,$A$681:$F$2272,6,FALSE)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2842</v>
      </c>
      <c r="AAV665" s="284">
        <f>IF(AAU665="Kopman",2.2,1)</f>
        <v>1</v>
      </c>
      <c r="AAW665" s="204">
        <f>VLOOKUP(AAT665,$A$681:$F$2272,6,FALSE)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VLOOKUP(ABC665,$A$681:$F$2272,6,FALSE)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2534</v>
      </c>
      <c r="ABN665" s="284">
        <f>IF(ABM665="Kopman",2.2,1)</f>
        <v>1</v>
      </c>
      <c r="ABO665" s="204">
        <f>VLOOKUP(ABL665,$A$681:$F$2272,6,FALSE)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VLOOKUP(ABU665,$A$681:$F$2272,6,FALSE)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VLOOKUP(ACD665,$A$681:$F$2272,6,FALSE)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VLOOKUP(ACM665,$A$681:$F$2272,6,FALSE)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VLOOKUP(ACV665,$A$681:$F$2272,6,FALSE)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VLOOKUP(ADE665,$A$681:$F$2272,6,FALSE)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VLOOKUP(ADN665,$A$681:$F$2272,6,FALSE)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VLOOKUP(ADW665,$A$681:$F$2272,6,FALSE)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VLOOKUP(AEF665,$A$681:$F$2272,6,FALSE)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VLOOKUP(AEO665,$A$681:$F$2272,6,FALSE)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VLOOKUP(AEX665,$A$681:$F$2272,6,FALSE)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VLOOKUP(AFG665,$A$681:$F$2272,6,FALSE)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VLOOKUP(AFP665,$A$681:$F$2272,6,FALSE)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VLOOKUP(AFY665,$A$681:$F$2272,6,FALSE)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VLOOKUP(AGH665,$A$681:$F$2272,6,FALSE)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VLOOKUP(AGQ665,$A$681:$F$2272,6,FALSE)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VLOOKUP(AGZ665,$A$681:$F$2272,6,FALSE)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3091</v>
      </c>
      <c r="AHK665" s="284">
        <f>IF(AHJ665="Kopman",2.2,1)</f>
        <v>1</v>
      </c>
      <c r="AHL665" s="204">
        <f>VLOOKUP(AHI665,$A$681:$F$2272,6,FALSE)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2099</v>
      </c>
      <c r="AHT665" s="284">
        <f>IF(AHS665="Kopman",2.2,1)</f>
        <v>1</v>
      </c>
      <c r="AHU665" s="204">
        <f>VLOOKUP(AHR665,$A$681:$F$2272,6,FALSE)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VLOOKUP(AIA665,$A$681:$F$2272,6,FALSE)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2787</v>
      </c>
      <c r="AIL665" s="284">
        <f>IF(AIK665="Kopman",2.2,1)</f>
        <v>1</v>
      </c>
      <c r="AIM665" s="204">
        <f>VLOOKUP(AIJ665,$A$681:$F$2272,6,FALSE)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VLOOKUP(AIS665,$A$681:$F$2272,6,FALSE)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VLOOKUP(AJB665,$A$681:$F$2272,6,FALSE)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VLOOKUP(AJK665,$A$681:$F$2272,6,FALSE)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VLOOKUP(AJT665,$A$681:$F$2272,6,FALSE)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VLOOKUP(AKC665,$A$681:$F$2272,6,FALSE)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VLOOKUP(AKL665,$A$681:$F$2272,6,FALSE)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VLOOKUP(AKU665,$A$681:$F$2272,6,FALSE)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VLOOKUP(ALD665,$A$681:$F$2272,6,FALSE)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2651</v>
      </c>
      <c r="ALO665" s="284">
        <f>IF(ALN665="Kopman",2.2,1)</f>
        <v>1</v>
      </c>
      <c r="ALP665" s="204">
        <f>VLOOKUP(ALM665,$A$681:$F$2272,6,FALSE)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VLOOKUP(ALV665,$A$681:$F$2272,6,FALSE)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VLOOKUP(AME665,$A$681:$F$2272,6,FALSE)</f>
        <v>54</v>
      </c>
      <c r="AMI665" s="203" t="s">
        <v>61</v>
      </c>
      <c r="AMJ665" s="10">
        <f>AMH665*1.5*AMG665</f>
        <v>81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VLOOKUP(AMN665,$A$681:$F$2272,6,FALSE)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VLOOKUP(AMW665,$A$681:$F$2272,6,FALSE)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VLOOKUP(ANF665,$A$681:$F$2272,6,FALSE)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VLOOKUP(ANO665,$A$681:$F$2272,6,FALSE)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2714</v>
      </c>
      <c r="ANZ665" s="284">
        <f>IF(ANY665="Kopman",2.2,1)</f>
        <v>1</v>
      </c>
      <c r="AOA665" s="204">
        <f>VLOOKUP(ANX665,$A$681:$F$2272,6,FALSE)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2715</v>
      </c>
      <c r="AOI665" s="284">
        <f>IF(AOH665="Kopman",2.2,1)</f>
        <v>1</v>
      </c>
      <c r="AOJ665" s="204">
        <f>VLOOKUP(AOG665,$A$681:$F$2272,6,FALSE)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2641</v>
      </c>
      <c r="AOR665" s="284">
        <f>IF(AOQ665="Kopman",2.2,1)</f>
        <v>1</v>
      </c>
      <c r="AOS665" s="204">
        <f>VLOOKUP(AOP665,$A$681:$F$2272,6,FALSE)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VLOOKUP(AOY665,$A$681:$F$2272,6,FALSE)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2641</v>
      </c>
      <c r="APJ665" s="284">
        <f>IF(API665="Kopman",2.2,1)</f>
        <v>1</v>
      </c>
      <c r="APK665" s="204">
        <f>VLOOKUP(APH665,$A$681:$F$2272,6,FALSE)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VLOOKUP(APQ665,$A$681:$F$2272,6,FALSE)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VLOOKUP(APZ665,$A$681:$F$2272,6,FALSE)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2527</v>
      </c>
      <c r="D666" s="204"/>
      <c r="E666" s="204">
        <f>VLOOKUP(B666,$A$681:$F$2272,6,FALSE)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VLOOKUP(K666,$A$681:$F$2272,6,FALSE)</f>
        <v>54</v>
      </c>
      <c r="O666" s="203" t="s">
        <v>63</v>
      </c>
      <c r="P666" s="10">
        <f>N666*1.4</f>
        <v>75.599999999999994</v>
      </c>
      <c r="Q666" s="10"/>
      <c r="R666" s="268"/>
      <c r="S666" s="203" t="s">
        <v>121</v>
      </c>
      <c r="T666" s="277" t="s">
        <v>2527</v>
      </c>
      <c r="V666" s="204"/>
      <c r="W666" s="204">
        <f>VLOOKUP(T666,$A$681:$F$2272,6,FALSE)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VLOOKUP(AC666,$A$681:$F$2272,6,FALSE)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2846</v>
      </c>
      <c r="AN666" s="204"/>
      <c r="AO666" s="204">
        <f>VLOOKUP(AL666,$A$681:$F$2272,6,FALSE)</f>
        <v>82</v>
      </c>
      <c r="AP666" s="203" t="s">
        <v>63</v>
      </c>
      <c r="AQ666" s="10">
        <f>AO666*1.4</f>
        <v>114.8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VLOOKUP(AU666,$A$681:$F$2272,6,FALSE)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VLOOKUP(BD666,$A$681:$F$2272,6,FALSE)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VLOOKUP(BM666,$A$681:$F$2272,6,FALSE)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VLOOKUP(BV666,$A$681:$F$2272,6,FALSE)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VLOOKUP(CE666,$A$681:$F$2272,6,FALSE)</f>
        <v>54</v>
      </c>
      <c r="CI666" s="203" t="s">
        <v>63</v>
      </c>
      <c r="CJ666" s="10">
        <f>CH666*1.4</f>
        <v>75.599999999999994</v>
      </c>
      <c r="CK666" s="10"/>
      <c r="CL666" s="268"/>
      <c r="CM666" s="203" t="s">
        <v>121</v>
      </c>
      <c r="CN666" s="277" t="s">
        <v>2527</v>
      </c>
      <c r="CP666" s="204"/>
      <c r="CQ666" s="204">
        <f>VLOOKUP(CN666,$A$681:$F$2272,6,FALSE)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VLOOKUP(CW666,$A$681:$F$2272,6,FALSE)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VLOOKUP(DF666,$A$681:$F$2272,6,FALSE)</f>
        <v>114</v>
      </c>
      <c r="DJ666" s="203" t="s">
        <v>63</v>
      </c>
      <c r="DK666" s="10">
        <f>DI666*1.4</f>
        <v>159.6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VLOOKUP(DO666,$A$681:$F$2272,6,FALSE)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VLOOKUP(DX666,$A$681:$F$2272,6,FALSE)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3103</v>
      </c>
      <c r="EI666" s="204"/>
      <c r="EJ666" s="204">
        <f>VLOOKUP(EG666,$A$681:$F$2272,6,FALSE)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VLOOKUP(EP666,$A$681:$F$2272,6,FALSE)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VLOOKUP(EY666,$A$681:$F$2272,6,FALSE)</f>
        <v>65</v>
      </c>
      <c r="FC666" s="203" t="s">
        <v>63</v>
      </c>
      <c r="FD666" s="10">
        <f>FB666*1.4</f>
        <v>91</v>
      </c>
      <c r="FE666" s="10"/>
      <c r="FF666" s="268"/>
      <c r="FG666" s="203" t="s">
        <v>121</v>
      </c>
      <c r="FH666" s="422" t="s">
        <v>2074</v>
      </c>
      <c r="FJ666" s="204"/>
      <c r="FK666" s="204">
        <f>VLOOKUP(FH666,$A$681:$F$2272,6,FALSE)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VLOOKUP(FQ666,$A$681:$F$2272,6,FALSE)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2846</v>
      </c>
      <c r="GB666" s="204"/>
      <c r="GC666" s="204">
        <f>VLOOKUP(FZ666,$A$681:$F$2272,6,FALSE)</f>
        <v>82</v>
      </c>
      <c r="GD666" s="203" t="s">
        <v>63</v>
      </c>
      <c r="GE666" s="10">
        <f>GC666*1.4</f>
        <v>114.8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VLOOKUP(GI666,$A$681:$F$2272,6,FALSE)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2143</v>
      </c>
      <c r="GT666" s="204"/>
      <c r="GU666" s="204">
        <f>VLOOKUP(GR666,$A$681:$F$2272,6,FALSE)</f>
        <v>50</v>
      </c>
      <c r="GV666" s="203" t="s">
        <v>63</v>
      </c>
      <c r="GW666" s="10">
        <f>GU666*1.4</f>
        <v>70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VLOOKUP(HA666,$A$681:$F$2272,6,FALSE)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2527</v>
      </c>
      <c r="HL666" s="204"/>
      <c r="HM666" s="204">
        <f>VLOOKUP(HJ666,$A$681:$F$2272,6,FALSE)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VLOOKUP(HS666,$A$681:$F$2272,6,FALSE)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VLOOKUP(IB666,$A$681:$F$2272,6,FALSE)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VLOOKUP(IK666,$A$681:$F$2272,6,FALSE)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2858</v>
      </c>
      <c r="IV666" s="204"/>
      <c r="IW666" s="204">
        <f>VLOOKUP(IT666,$A$681:$F$2272,6,FALSE)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VLOOKUP(JC666,$A$681:$F$2272,6,FALSE)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VLOOKUP(JL666,$A$681:$F$2272,6,FALSE)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VLOOKUP(JU666,$A$681:$F$2272,6,FALSE)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VLOOKUP(KD666,$A$681:$F$2272,6,FALSE)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2766</v>
      </c>
      <c r="KO666" s="204"/>
      <c r="KP666" s="204">
        <f>VLOOKUP(KM666,$A$681:$F$2272,6,FALSE)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VLOOKUP(KV666,$A$681:$F$2272,6,FALSE)</f>
        <v>54</v>
      </c>
      <c r="KZ666" s="203" t="s">
        <v>63</v>
      </c>
      <c r="LA666" s="10">
        <f>KY666*1.4</f>
        <v>75.599999999999994</v>
      </c>
      <c r="LB666" s="10"/>
      <c r="LC666" s="268"/>
      <c r="LD666" s="203" t="s">
        <v>121</v>
      </c>
      <c r="LE666" s="277" t="s">
        <v>2710</v>
      </c>
      <c r="LG666" s="204"/>
      <c r="LH666" s="204">
        <f>VLOOKUP(LE666,$A$681:$F$2272,6,FALSE)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2527</v>
      </c>
      <c r="LP666" s="204"/>
      <c r="LQ666" s="204">
        <f>VLOOKUP(LN666,$A$681:$F$2272,6,FALSE)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VLOOKUP(LW666,$A$681:$F$2272,6,FALSE)</f>
        <v>2</v>
      </c>
      <c r="MA666" s="203" t="s">
        <v>63</v>
      </c>
      <c r="MB666" s="10">
        <f>LZ666*1.4</f>
        <v>2.8</v>
      </c>
      <c r="MC666" s="10"/>
      <c r="MD666" s="268"/>
      <c r="ME666" s="203" t="s">
        <v>121</v>
      </c>
      <c r="MF666" s="277" t="s">
        <v>2766</v>
      </c>
      <c r="MH666" s="204"/>
      <c r="MI666" s="204">
        <f>VLOOKUP(MF666,$A$681:$F$2272,6,FALSE)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VLOOKUP(MO666,$A$681:$F$2272,6,FALSE)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VLOOKUP(MX666,$A$681:$F$2272,6,FALSE)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1838</v>
      </c>
      <c r="NI666" s="204"/>
      <c r="NJ666" s="204">
        <f>VLOOKUP(NG666,$A$681:$F$2272,6,FALSE)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VLOOKUP(NP666,$A$681:$F$2272,6,FALSE)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VLOOKUP(NY666,$A$681:$F$2272,6,FALSE)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2339</v>
      </c>
      <c r="OJ666" s="204"/>
      <c r="OK666" s="204">
        <f>VLOOKUP(OH666,$A$681:$F$2272,6,FALSE)</f>
        <v>58</v>
      </c>
      <c r="OL666" s="203" t="s">
        <v>63</v>
      </c>
      <c r="OM666" s="10">
        <f>OK666*1.4</f>
        <v>81.199999999999989</v>
      </c>
      <c r="ON666" s="10"/>
      <c r="OO666" s="268"/>
      <c r="OP666" s="203" t="s">
        <v>121</v>
      </c>
      <c r="OQ666" s="425" t="s">
        <v>2766</v>
      </c>
      <c r="OS666" s="204"/>
      <c r="OT666" s="204">
        <f>VLOOKUP(OQ666,$A$681:$F$2272,6,FALSE)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VLOOKUP(OZ666,$A$681:$F$2272,6,FALSE)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2143</v>
      </c>
      <c r="PK666" s="204"/>
      <c r="PL666" s="204">
        <f>VLOOKUP(PI666,$A$681:$F$2272,6,FALSE)</f>
        <v>50</v>
      </c>
      <c r="PM666" s="203" t="s">
        <v>63</v>
      </c>
      <c r="PN666" s="10">
        <f>PL666*1.4</f>
        <v>70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VLOOKUP(PR666,$A$681:$F$2272,6,FALSE)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2871</v>
      </c>
      <c r="QC666" s="204"/>
      <c r="QD666" s="204">
        <f>VLOOKUP(QA666,$A$681:$F$2272,6,FALSE)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VLOOKUP(QJ666,$A$681:$F$2272,6,FALSE)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VLOOKUP(QS666,$A$681:$F$2272,6,FALSE)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2858</v>
      </c>
      <c r="RD666" s="204"/>
      <c r="RE666" s="204">
        <f>VLOOKUP(RB666,$A$681:$F$2272,6,FALSE)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VLOOKUP(RK666,$A$681:$F$2272,6,FALSE)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2527</v>
      </c>
      <c r="RV666" s="204"/>
      <c r="RW666" s="204">
        <f>VLOOKUP(RT666,$A$681:$F$2272,6,FALSE)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2060</v>
      </c>
      <c r="SE666" s="204"/>
      <c r="SF666" s="204">
        <f>VLOOKUP(SC666,$A$681:$F$2272,6,FALSE)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2527</v>
      </c>
      <c r="SN666" s="204"/>
      <c r="SO666" s="204">
        <f>VLOOKUP(SL666,$A$681:$F$2272,6,FALSE)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2651</v>
      </c>
      <c r="SW666" s="204"/>
      <c r="SX666" s="204">
        <f>VLOOKUP(SU666,$A$681:$F$2272,6,FALSE)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VLOOKUP(TD666,$A$681:$F$2272,6,FALSE)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2714</v>
      </c>
      <c r="TO666" s="204"/>
      <c r="TP666" s="204">
        <f>VLOOKUP(TM666,$A$681:$F$2272,6,FALSE)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VLOOKUP(TV666,$A$681:$F$2272,6,FALSE)</f>
        <v>54</v>
      </c>
      <c r="TZ666" s="203" t="s">
        <v>63</v>
      </c>
      <c r="UA666" s="10">
        <f>TY666*1.4</f>
        <v>75.599999999999994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VLOOKUP(UE666,$A$681:$F$2272,6,FALSE)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2637</v>
      </c>
      <c r="UP666" s="204"/>
      <c r="UQ666" s="204">
        <f>VLOOKUP(UN666,$A$681:$F$2272,6,FALSE)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2577</v>
      </c>
      <c r="UY666" s="204"/>
      <c r="UZ666" s="204">
        <f>VLOOKUP(UW666,$A$681:$F$2272,6,FALSE)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2154</v>
      </c>
      <c r="VH666" s="204"/>
      <c r="VI666" s="204">
        <f>VLOOKUP(VF666,$A$681:$F$2272,6,FALSE)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VLOOKUP(VO666,$A$681:$F$2272,6,FALSE)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VLOOKUP(VX666,$A$681:$F$2272,6,FALSE)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2593</v>
      </c>
      <c r="WI666" s="204"/>
      <c r="WJ666" s="204">
        <f>VLOOKUP(WG666,$A$681:$F$2272,6,FALSE)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VLOOKUP(WP666,$A$681:$F$2272,6,FALSE)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VLOOKUP(WY666,$A$681:$F$2272,6,FALSE)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VLOOKUP(XH666,$A$681:$F$2272,6,FALSE)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2074</v>
      </c>
      <c r="XS666" s="204"/>
      <c r="XT666" s="204">
        <f>VLOOKUP(XQ666,$A$681:$F$2272,6,FALSE)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VLOOKUP(XZ666,$A$681:$F$2272,6,FALSE)</f>
        <v>114</v>
      </c>
      <c r="YD666" s="203" t="s">
        <v>63</v>
      </c>
      <c r="YE666" s="10">
        <f>YC666*1.4</f>
        <v>159.6</v>
      </c>
      <c r="YG666" s="274"/>
      <c r="YH666" s="203" t="s">
        <v>121</v>
      </c>
      <c r="YI666" s="279" t="s">
        <v>183</v>
      </c>
      <c r="YK666" s="204"/>
      <c r="YL666" s="204" t="e">
        <f>VLOOKUP(YI666,$A$681:$F$2272,6,FALSE)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VLOOKUP(YR666,$A$681:$F$2272,6,FALSE)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VLOOKUP(ZA666,$A$681:$F$2272,6,FALSE)</f>
        <v>54</v>
      </c>
      <c r="ZE666" s="203" t="s">
        <v>63</v>
      </c>
      <c r="ZF666" s="10">
        <f>ZD666*1.4</f>
        <v>75.599999999999994</v>
      </c>
      <c r="ZH666" s="274"/>
      <c r="ZI666" s="203" t="s">
        <v>121</v>
      </c>
      <c r="ZJ666" s="277" t="s">
        <v>631</v>
      </c>
      <c r="ZL666" s="204"/>
      <c r="ZM666" s="204">
        <f>VLOOKUP(ZJ666,$A$681:$F$2272,6,FALSE)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VLOOKUP(ZS666,$A$681:$F$2272,6,FALSE)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2649</v>
      </c>
      <c r="AAD666" s="204"/>
      <c r="AAE666" s="204">
        <f>VLOOKUP(AAB666,$A$681:$F$2272,6,FALSE)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VLOOKUP(AAK666,$A$681:$F$2272,6,FALSE)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2099</v>
      </c>
      <c r="AAV666" s="204"/>
      <c r="AAW666" s="204">
        <f>VLOOKUP(AAT666,$A$681:$F$2272,6,FALSE)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VLOOKUP(ABC666,$A$681:$F$2272,6,FALSE)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VLOOKUP(ABL666,$A$681:$F$2272,6,FALSE)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VLOOKUP(ABU666,$A$681:$F$2272,6,FALSE)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VLOOKUP(ACD666,$A$681:$F$2272,6,FALSE)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VLOOKUP(ACM666,$A$681:$F$2272,6,FALSE)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VLOOKUP(ACV666,$A$681:$F$2272,6,FALSE)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VLOOKUP(ADE666,$A$681:$F$2272,6,FALSE)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VLOOKUP(ADN666,$A$681:$F$2272,6,FALSE)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VLOOKUP(ADW666,$A$681:$F$2272,6,FALSE)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VLOOKUP(AEF666,$A$681:$F$2272,6,FALSE)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VLOOKUP(AEO666,$A$681:$F$2272,6,FALSE)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VLOOKUP(AEX666,$A$681:$F$2272,6,FALSE)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VLOOKUP(AFG666,$A$681:$F$2272,6,FALSE)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VLOOKUP(AFP666,$A$681:$F$2272,6,FALSE)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VLOOKUP(AFY666,$A$681:$F$2272,6,FALSE)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VLOOKUP(AGH666,$A$681:$F$2272,6,FALSE)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VLOOKUP(AGQ666,$A$681:$F$2272,6,FALSE)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3138</v>
      </c>
      <c r="AHB666" s="204"/>
      <c r="AHC666" s="204">
        <f>VLOOKUP(AGZ666,$A$681:$F$2272,6,FALSE)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2349</v>
      </c>
      <c r="AHK666" s="204"/>
      <c r="AHL666" s="204">
        <f>VLOOKUP(AHI666,$A$681:$F$2272,6,FALSE)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VLOOKUP(AHR666,$A$681:$F$2272,6,FALSE)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2123</v>
      </c>
      <c r="AIC666" s="204"/>
      <c r="AID666" s="204">
        <f>VLOOKUP(AIA666,$A$681:$F$2272,6,FALSE)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2154</v>
      </c>
      <c r="AIL666" s="204"/>
      <c r="AIM666" s="204">
        <f>VLOOKUP(AIJ666,$A$681:$F$2272,6,FALSE)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VLOOKUP(AIS666,$A$681:$F$2272,6,FALSE)</f>
        <v>54</v>
      </c>
      <c r="AIW666" s="203" t="s">
        <v>63</v>
      </c>
      <c r="AIX666" s="10">
        <f>AIV666*1.4</f>
        <v>75.599999999999994</v>
      </c>
      <c r="AIY666" s="10"/>
      <c r="AIZ666" s="274"/>
      <c r="AJA666" s="203" t="s">
        <v>121</v>
      </c>
      <c r="AJB666" s="277" t="s">
        <v>2630</v>
      </c>
      <c r="AJD666" s="204"/>
      <c r="AJE666" s="204">
        <f>VLOOKUP(AJB666,$A$681:$F$2272,6,FALSE)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VLOOKUP(AJK666,$A$681:$F$2272,6,FALSE)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VLOOKUP(AJT666,$A$681:$F$2272,6,FALSE)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VLOOKUP(AKC666,$A$681:$F$2272,6,FALSE)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2527</v>
      </c>
      <c r="AKN666" s="204"/>
      <c r="AKO666" s="204">
        <f>VLOOKUP(AKL666,$A$681:$F$2272,6,FALSE)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VLOOKUP(AKU666,$A$681:$F$2272,6,FALSE)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VLOOKUP(ALD666,$A$681:$F$2272,6,FALSE)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2766</v>
      </c>
      <c r="ALO666" s="204"/>
      <c r="ALP666" s="204">
        <f>VLOOKUP(ALM666,$A$681:$F$2272,6,FALSE)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VLOOKUP(ALV666,$A$681:$F$2272,6,FALSE)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VLOOKUP(AME666,$A$681:$F$2272,6,FALSE)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VLOOKUP(AMN666,$A$681:$F$2272,6,FALSE)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VLOOKUP(AMW666,$A$681:$F$2272,6,FALSE)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VLOOKUP(ANF666,$A$681:$F$2272,6,FALSE)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2585</v>
      </c>
      <c r="ANQ666" s="204"/>
      <c r="ANR666" s="204">
        <f>VLOOKUP(ANO666,$A$681:$F$2272,6,FALSE)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VLOOKUP(ANX666,$A$681:$F$2272,6,FALSE)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2578</v>
      </c>
      <c r="AOI666" s="204"/>
      <c r="AOJ666" s="204">
        <f>VLOOKUP(AOG666,$A$681:$F$2272,6,FALSE)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VLOOKUP(AOP666,$A$681:$F$2272,6,FALSE)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VLOOKUP(AOY666,$A$681:$F$2272,6,FALSE)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3112</v>
      </c>
      <c r="APJ666" s="204"/>
      <c r="APK666" s="204">
        <f>VLOOKUP(APH666,$A$681:$F$2272,6,FALSE)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2110</v>
      </c>
      <c r="APS666" s="204"/>
      <c r="APT666" s="204">
        <f>VLOOKUP(APQ666,$A$681:$F$2272,6,FALSE)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2766</v>
      </c>
      <c r="AQB666" s="204"/>
      <c r="AQC666" s="204">
        <f>VLOOKUP(APZ666,$A$681:$F$2272,6,FALSE)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2857</v>
      </c>
      <c r="D667" s="204"/>
      <c r="E667" s="204">
        <f>VLOOKUP(B667,$A$681:$F$2272,6,FALSE)</f>
        <v>59</v>
      </c>
      <c r="F667" s="203" t="s">
        <v>65</v>
      </c>
      <c r="G667" s="10">
        <f>E667*1.3</f>
        <v>76.7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VLOOKUP(K667,$A$681:$F$2272,6,FALSE)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VLOOKUP(T667,$A$681:$F$2272,6,FALSE)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2857</v>
      </c>
      <c r="AE667" s="204"/>
      <c r="AF667" s="204">
        <f>VLOOKUP(AC667,$A$681:$F$2272,6,FALSE)</f>
        <v>59</v>
      </c>
      <c r="AG667" s="203" t="s">
        <v>65</v>
      </c>
      <c r="AH667" s="10">
        <f>AF667*1.3</f>
        <v>76.7</v>
      </c>
      <c r="AI667" s="10"/>
      <c r="AJ667" s="268"/>
      <c r="AK667" s="203" t="s">
        <v>122</v>
      </c>
      <c r="AL667" s="277" t="s">
        <v>2099</v>
      </c>
      <c r="AN667" s="204"/>
      <c r="AO667" s="204">
        <f>VLOOKUP(AL667,$A$681:$F$2272,6,FALSE)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VLOOKUP(AU667,$A$681:$F$2272,6,FALSE)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VLOOKUP(BD667,$A$681:$F$2272,6,FALSE)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2527</v>
      </c>
      <c r="BO667" s="204"/>
      <c r="BP667" s="204">
        <f>VLOOKUP(BM667,$A$681:$F$2272,6,FALSE)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VLOOKUP(BV667,$A$681:$F$2272,6,FALSE)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VLOOKUP(CE667,$A$681:$F$2272,6,FALSE)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VLOOKUP(CN667,$A$681:$F$2272,6,FALSE)</f>
        <v>114</v>
      </c>
      <c r="CR667" s="203" t="s">
        <v>65</v>
      </c>
      <c r="CS667" s="10">
        <f>CQ667*1.3</f>
        <v>148.20000000000002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VLOOKUP(CW667,$A$681:$F$2272,6,FALSE)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VLOOKUP(DF667,$A$681:$F$2272,6,FALSE)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VLOOKUP(DO667,$A$681:$F$2272,6,FALSE)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VLOOKUP(DX667,$A$681:$F$2272,6,FALSE)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3136</v>
      </c>
      <c r="EI667" s="204"/>
      <c r="EJ667" s="204">
        <f>VLOOKUP(EG667,$A$681:$F$2272,6,FALSE)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VLOOKUP(EP667,$A$681:$F$2272,6,FALSE)</f>
        <v>54</v>
      </c>
      <c r="ET667" s="203" t="s">
        <v>65</v>
      </c>
      <c r="EU667" s="10">
        <f>ES667*1.3</f>
        <v>70.2</v>
      </c>
      <c r="EV667" s="10"/>
      <c r="EW667" s="268"/>
      <c r="EX667" s="203" t="s">
        <v>122</v>
      </c>
      <c r="EY667" s="277" t="s">
        <v>2123</v>
      </c>
      <c r="FA667" s="204"/>
      <c r="FB667" s="204">
        <f>VLOOKUP(EY667,$A$681:$F$2272,6,FALSE)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VLOOKUP(FH667,$A$681:$F$2272,6,FALSE)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VLOOKUP(FQ667,$A$681:$F$2272,6,FALSE)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2527</v>
      </c>
      <c r="GB667" s="204"/>
      <c r="GC667" s="204">
        <f>VLOOKUP(FZ667,$A$681:$F$2272,6,FALSE)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VLOOKUP(GI667,$A$681:$F$2272,6,FALSE)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2857</v>
      </c>
      <c r="GT667" s="204"/>
      <c r="GU667" s="204">
        <f>VLOOKUP(GR667,$A$681:$F$2272,6,FALSE)</f>
        <v>59</v>
      </c>
      <c r="GV667" s="203" t="s">
        <v>65</v>
      </c>
      <c r="GW667" s="10">
        <f>GU667*1.3</f>
        <v>76.7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VLOOKUP(HA667,$A$681:$F$2272,6,FALSE)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VLOOKUP(HJ667,$A$681:$F$2272,6,FALSE)</f>
        <v>54</v>
      </c>
      <c r="HN667" s="203" t="s">
        <v>65</v>
      </c>
      <c r="HO667" s="10">
        <f>HM667*1.3</f>
        <v>70.2</v>
      </c>
      <c r="HP667" s="10"/>
      <c r="HQ667" s="268"/>
      <c r="HR667" s="203" t="s">
        <v>122</v>
      </c>
      <c r="HS667" s="277" t="s">
        <v>2527</v>
      </c>
      <c r="HU667" s="204"/>
      <c r="HV667" s="204">
        <f>VLOOKUP(HS667,$A$681:$F$2272,6,FALSE)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VLOOKUP(IB667,$A$681:$F$2272,6,FALSE)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2630</v>
      </c>
      <c r="IM667" s="204"/>
      <c r="IN667" s="204">
        <f>VLOOKUP(IK667,$A$681:$F$2272,6,FALSE)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VLOOKUP(IT667,$A$681:$F$2272,6,FALSE)</f>
        <v>2</v>
      </c>
      <c r="IX667" s="203" t="s">
        <v>65</v>
      </c>
      <c r="IY667" s="10">
        <f>IW667*1.3</f>
        <v>2.6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VLOOKUP(JC667,$A$681:$F$2272,6,FALSE)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VLOOKUP(JL667,$A$681:$F$2272,6,FALSE)</f>
        <v>54</v>
      </c>
      <c r="JP667" s="203" t="s">
        <v>65</v>
      </c>
      <c r="JQ667" s="10">
        <f>JO667*1.3</f>
        <v>70.2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VLOOKUP(JU667,$A$681:$F$2272,6,FALSE)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2871</v>
      </c>
      <c r="KF667" s="204"/>
      <c r="KG667" s="204">
        <f>VLOOKUP(KD667,$A$681:$F$2272,6,FALSE)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VLOOKUP(KM667,$A$681:$F$2272,6,FALSE)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VLOOKUP(KV667,$A$681:$F$2272,6,FALSE)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VLOOKUP(LE667,$A$681:$F$2272,6,FALSE)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VLOOKUP(LN667,$A$681:$F$2272,6,FALSE)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2766</v>
      </c>
      <c r="LY667" s="204"/>
      <c r="LZ667" s="204">
        <f>VLOOKUP(LW667,$A$681:$F$2272,6,FALSE)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VLOOKUP(MF667,$A$681:$F$2272,6,FALSE)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VLOOKUP(MO667,$A$681:$F$2272,6,FALSE)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VLOOKUP(MX667,$A$681:$F$2272,6,FALSE)</f>
        <v>65</v>
      </c>
      <c r="NB667" s="203" t="s">
        <v>65</v>
      </c>
      <c r="NC667" s="10">
        <f>NA667*1.3</f>
        <v>84.5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VLOOKUP(NG667,$A$681:$F$2272,6,FALSE)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VLOOKUP(NP667,$A$681:$F$2272,6,FALSE)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2780</v>
      </c>
      <c r="OA667" s="204"/>
      <c r="OB667" s="204">
        <f>VLOOKUP(NY667,$A$681:$F$2272,6,FALSE)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VLOOKUP(OH667,$A$681:$F$2272,6,FALSE)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5" t="s">
        <v>2846</v>
      </c>
      <c r="OS667" s="204"/>
      <c r="OT667" s="204">
        <f>VLOOKUP(OQ667,$A$681:$F$2272,6,FALSE)</f>
        <v>82</v>
      </c>
      <c r="OU667" s="203" t="s">
        <v>65</v>
      </c>
      <c r="OV667" s="10">
        <f>OT667*1.3</f>
        <v>106.60000000000001</v>
      </c>
      <c r="OW667" s="10"/>
      <c r="OX667" s="268"/>
      <c r="OY667" s="203" t="s">
        <v>122</v>
      </c>
      <c r="OZ667" s="429" t="s">
        <v>2527</v>
      </c>
      <c r="PB667" s="204"/>
      <c r="PC667" s="204">
        <f>VLOOKUP(OZ667,$A$681:$F$2272,6,FALSE)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2074</v>
      </c>
      <c r="PK667" s="204"/>
      <c r="PL667" s="204">
        <f>VLOOKUP(PI667,$A$681:$F$2272,6,FALSE)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VLOOKUP(PR667,$A$681:$F$2272,6,FALSE)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VLOOKUP(QA667,$A$681:$F$2272,6,FALSE)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VLOOKUP(QJ667,$A$681:$F$2272,6,FALSE)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VLOOKUP(QS667,$A$681:$F$2272,6,FALSE)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2525</v>
      </c>
      <c r="RD667" s="204"/>
      <c r="RE667" s="204">
        <f>VLOOKUP(RB667,$A$681:$F$2272,6,FALSE)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VLOOKUP(RK667,$A$681:$F$2272,6,FALSE)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VLOOKUP(RT667,$A$681:$F$2272,6,FALSE)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2527</v>
      </c>
      <c r="SE667" s="204"/>
      <c r="SF667" s="204">
        <f>VLOOKUP(SC667,$A$681:$F$2272,6,FALSE)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VLOOKUP(SL667,$A$681:$F$2272,6,FALSE)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2125</v>
      </c>
      <c r="SW667" s="204"/>
      <c r="SX667" s="204">
        <f>VLOOKUP(SU667,$A$681:$F$2272,6,FALSE)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VLOOKUP(TD667,$A$681:$F$2272,6,FALSE)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VLOOKUP(TM667,$A$681:$F$2272,6,FALSE)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2846</v>
      </c>
      <c r="TX667" s="204"/>
      <c r="TY667" s="204">
        <f>VLOOKUP(TV667,$A$681:$F$2272,6,FALSE)</f>
        <v>82</v>
      </c>
      <c r="TZ667" s="203" t="s">
        <v>65</v>
      </c>
      <c r="UA667" s="10">
        <f>TY667*1.3</f>
        <v>106.60000000000001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VLOOKUP(UE667,$A$681:$F$2272,6,FALSE)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VLOOKUP(UN667,$A$681:$F$2272,6,FALSE)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VLOOKUP(UW667,$A$681:$F$2272,6,FALSE)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2849</v>
      </c>
      <c r="VH667" s="204"/>
      <c r="VI667" s="204">
        <f>VLOOKUP(VF667,$A$681:$F$2272,6,FALSE)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2149</v>
      </c>
      <c r="VQ667" s="204"/>
      <c r="VR667" s="204">
        <f>VLOOKUP(VO667,$A$681:$F$2272,6,FALSE)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VLOOKUP(VX667,$A$681:$F$2272,6,FALSE)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3086</v>
      </c>
      <c r="WI667" s="204"/>
      <c r="WJ667" s="204">
        <f>VLOOKUP(WG667,$A$681:$F$2272,6,FALSE)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VLOOKUP(WP667,$A$681:$F$2272,6,FALSE)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VLOOKUP(WY667,$A$681:$F$2272,6,FALSE)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2060</v>
      </c>
      <c r="XJ667" s="204"/>
      <c r="XK667" s="204">
        <f>VLOOKUP(XH667,$A$681:$F$2272,6,FALSE)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2527</v>
      </c>
      <c r="XS667" s="204"/>
      <c r="XT667" s="204">
        <f>VLOOKUP(XQ667,$A$681:$F$2272,6,FALSE)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VLOOKUP(XZ667,$A$681:$F$2272,6,FALSE)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VLOOKUP(YI667,$A$681:$F$2272,6,FALSE)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VLOOKUP(YR667,$A$681:$F$2272,6,FALSE)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VLOOKUP(ZA667,$A$681:$F$2272,6,FALSE)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VLOOKUP(ZJ667,$A$681:$F$2272,6,FALSE)</f>
        <v>15</v>
      </c>
      <c r="ZN667" s="203" t="s">
        <v>65</v>
      </c>
      <c r="ZO667" s="10">
        <f>ZM667*1.3</f>
        <v>19.5</v>
      </c>
      <c r="ZQ667" s="274"/>
      <c r="ZR667" s="203" t="s">
        <v>122</v>
      </c>
      <c r="ZS667" s="277" t="s">
        <v>543</v>
      </c>
      <c r="ZU667" s="204"/>
      <c r="ZV667" s="204">
        <f>VLOOKUP(ZS667,$A$681:$F$2272,6,FALSE)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2724</v>
      </c>
      <c r="AAD667" s="204"/>
      <c r="AAE667" s="204">
        <f>VLOOKUP(AAB667,$A$681:$F$2272,6,FALSE)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VLOOKUP(AAK667,$A$681:$F$2272,6,FALSE)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2857</v>
      </c>
      <c r="AAV667" s="204"/>
      <c r="AAW667" s="204">
        <f>VLOOKUP(AAT667,$A$681:$F$2272,6,FALSE)</f>
        <v>59</v>
      </c>
      <c r="AAX667" s="203" t="s">
        <v>65</v>
      </c>
      <c r="AAY667" s="10">
        <f>AAW667*1.3</f>
        <v>76.7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VLOOKUP(ABC667,$A$681:$F$2272,6,FALSE)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2081</v>
      </c>
      <c r="ABN667" s="204"/>
      <c r="ABO667" s="204">
        <f>VLOOKUP(ABL667,$A$681:$F$2272,6,FALSE)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VLOOKUP(ABU667,$A$681:$F$2272,6,FALSE)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VLOOKUP(ACD667,$A$681:$F$2272,6,FALSE)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VLOOKUP(ACM667,$A$681:$F$2272,6,FALSE)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VLOOKUP(ACV667,$A$681:$F$2272,6,FALSE)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VLOOKUP(ADE667,$A$681:$F$2272,6,FALSE)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VLOOKUP(ADN667,$A$681:$F$2272,6,FALSE)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VLOOKUP(ADW667,$A$681:$F$2272,6,FALSE)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VLOOKUP(AEF667,$A$681:$F$2272,6,FALSE)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VLOOKUP(AEO667,$A$681:$F$2272,6,FALSE)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VLOOKUP(AEX667,$A$681:$F$2272,6,FALSE)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VLOOKUP(AFG667,$A$681:$F$2272,6,FALSE)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VLOOKUP(AFP667,$A$681:$F$2272,6,FALSE)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VLOOKUP(AFY667,$A$681:$F$2272,6,FALSE)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VLOOKUP(AGH667,$A$681:$F$2272,6,FALSE)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VLOOKUP(AGQ667,$A$681:$F$2272,6,FALSE)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2739</v>
      </c>
      <c r="AHB667" s="204"/>
      <c r="AHC667" s="204">
        <f>VLOOKUP(AGZ667,$A$681:$F$2272,6,FALSE)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VLOOKUP(AHI667,$A$681:$F$2272,6,FALSE)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VLOOKUP(AHR667,$A$681:$F$2272,6,FALSE)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2534</v>
      </c>
      <c r="AIC667" s="204"/>
      <c r="AID667" s="204">
        <f>VLOOKUP(AIA667,$A$681:$F$2272,6,FALSE)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2669</v>
      </c>
      <c r="AIL667" s="204"/>
      <c r="AIM667" s="204">
        <f>VLOOKUP(AIJ667,$A$681:$F$2272,6,FALSE)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VLOOKUP(AIS667,$A$681:$F$2272,6,FALSE)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2766</v>
      </c>
      <c r="AJD667" s="204"/>
      <c r="AJE667" s="204">
        <f>VLOOKUP(AJB667,$A$681:$F$2272,6,FALSE)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VLOOKUP(AJK667,$A$681:$F$2272,6,FALSE)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VLOOKUP(AJT667,$A$681:$F$2272,6,FALSE)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VLOOKUP(AKC667,$A$681:$F$2272,6,FALSE)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VLOOKUP(AKL667,$A$681:$F$2272,6,FALSE)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2707</v>
      </c>
      <c r="AKW667" s="204"/>
      <c r="AKX667" s="204">
        <f>VLOOKUP(AKU667,$A$681:$F$2272,6,FALSE)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VLOOKUP(ALD667,$A$681:$F$2272,6,FALSE)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3114</v>
      </c>
      <c r="ALO667" s="204"/>
      <c r="ALP667" s="204">
        <f>VLOOKUP(ALM667,$A$681:$F$2272,6,FALSE)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VLOOKUP(ALV667,$A$681:$F$2272,6,FALSE)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VLOOKUP(AME667,$A$681:$F$2272,6,FALSE)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2871</v>
      </c>
      <c r="AMP667" s="204"/>
      <c r="AMQ667" s="204">
        <f>VLOOKUP(AMN667,$A$681:$F$2272,6,FALSE)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VLOOKUP(AMW667,$A$681:$F$2272,6,FALSE)</f>
        <v>114</v>
      </c>
      <c r="ANA667" s="203" t="s">
        <v>65</v>
      </c>
      <c r="ANB667" s="10">
        <f>AMZ667*1.3</f>
        <v>148.20000000000002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VLOOKUP(ANF667,$A$681:$F$2272,6,FALSE)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VLOOKUP(ANO667,$A$681:$F$2272,6,FALSE)</f>
        <v>54</v>
      </c>
      <c r="ANS667" s="203" t="s">
        <v>65</v>
      </c>
      <c r="ANT667" s="10">
        <f>ANR667*1.3</f>
        <v>70.2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VLOOKUP(ANX667,$A$681:$F$2272,6,FALSE)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2722</v>
      </c>
      <c r="AOI667" s="204"/>
      <c r="AOJ667" s="204">
        <f>VLOOKUP(AOG667,$A$681:$F$2272,6,FALSE)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VLOOKUP(AOP667,$A$681:$F$2272,6,FALSE)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2527</v>
      </c>
      <c r="APA667" s="204"/>
      <c r="APB667" s="204">
        <f>VLOOKUP(AOY667,$A$681:$F$2272,6,FALSE)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2093</v>
      </c>
      <c r="APJ667" s="204"/>
      <c r="APK667" s="204">
        <f>VLOOKUP(APH667,$A$681:$F$2272,6,FALSE)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VLOOKUP(APQ667,$A$681:$F$2272,6,FALSE)</f>
        <v>11</v>
      </c>
      <c r="APU667" s="203" t="s">
        <v>65</v>
      </c>
      <c r="APV667" s="10">
        <f>APT667*1.3</f>
        <v>14.3</v>
      </c>
      <c r="APW667" s="10"/>
      <c r="APX667" s="274"/>
      <c r="APY667" s="203" t="s">
        <v>122</v>
      </c>
      <c r="APZ667" s="277" t="s">
        <v>2060</v>
      </c>
      <c r="AQB667" s="204"/>
      <c r="AQC667" s="204">
        <f>VLOOKUP(APZ667,$A$681:$F$2272,6,FALSE)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VLOOKUP(B668,$A$681:$F$2272,6,FALSE)</f>
        <v>54</v>
      </c>
      <c r="F668" s="203" t="s">
        <v>67</v>
      </c>
      <c r="G668" s="10">
        <f>E668*1.2</f>
        <v>64.8</v>
      </c>
      <c r="H668" s="10"/>
      <c r="I668" s="268"/>
      <c r="J668" s="203" t="s">
        <v>123</v>
      </c>
      <c r="K668" s="277" t="s">
        <v>2074</v>
      </c>
      <c r="M668" s="204"/>
      <c r="N668" s="204">
        <f>VLOOKUP(K668,$A$681:$F$2272,6,FALSE)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2857</v>
      </c>
      <c r="V668" s="204"/>
      <c r="W668" s="204">
        <f>VLOOKUP(T668,$A$681:$F$2272,6,FALSE)</f>
        <v>59</v>
      </c>
      <c r="X668" s="203" t="s">
        <v>67</v>
      </c>
      <c r="Y668" s="10">
        <f>W668*1.2</f>
        <v>70.8</v>
      </c>
      <c r="Z668" s="10"/>
      <c r="AA668" s="268"/>
      <c r="AB668" s="203" t="s">
        <v>123</v>
      </c>
      <c r="AC668" s="277" t="s">
        <v>2846</v>
      </c>
      <c r="AE668" s="204"/>
      <c r="AF668" s="204">
        <f>VLOOKUP(AC668,$A$681:$F$2272,6,FALSE)</f>
        <v>82</v>
      </c>
      <c r="AG668" s="203" t="s">
        <v>67</v>
      </c>
      <c r="AH668" s="10">
        <f>AF668*1.2</f>
        <v>98.399999999999991</v>
      </c>
      <c r="AI668" s="10"/>
      <c r="AJ668" s="268"/>
      <c r="AK668" s="203" t="s">
        <v>123</v>
      </c>
      <c r="AL668" s="277" t="s">
        <v>2074</v>
      </c>
      <c r="AN668" s="204"/>
      <c r="AO668" s="204">
        <f>VLOOKUP(AL668,$A$681:$F$2272,6,FALSE)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VLOOKUP(AU668,$A$681:$F$2272,6,FALSE)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VLOOKUP(BD668,$A$681:$F$2272,6,FALSE)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2849</v>
      </c>
      <c r="BO668" s="204"/>
      <c r="BP668" s="204">
        <f>VLOOKUP(BM668,$A$681:$F$2272,6,FALSE)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VLOOKUP(BV668,$A$681:$F$2272,6,FALSE)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VLOOKUP(CE668,$A$681:$F$2272,6,FALSE)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2766</v>
      </c>
      <c r="CP668" s="204"/>
      <c r="CQ668" s="204">
        <f>VLOOKUP(CN668,$A$681:$F$2272,6,FALSE)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VLOOKUP(CW668,$A$681:$F$2272,6,FALSE)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VLOOKUP(DF668,$A$681:$F$2272,6,FALSE)</f>
        <v>54</v>
      </c>
      <c r="DJ668" s="203" t="s">
        <v>67</v>
      </c>
      <c r="DK668" s="10">
        <f>DI668*1.2</f>
        <v>64.8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VLOOKUP(DO668,$A$681:$F$2272,6,FALSE)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VLOOKUP(DX668,$A$681:$F$2272,6,FALSE)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VLOOKUP(EG668,$A$681:$F$2272,6,FALSE)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2835</v>
      </c>
      <c r="ER668" s="204"/>
      <c r="ES668" s="204">
        <f>VLOOKUP(EP668,$A$681:$F$2272,6,FALSE)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2846</v>
      </c>
      <c r="FA668" s="204"/>
      <c r="FB668" s="204">
        <f>VLOOKUP(EY668,$A$681:$F$2272,6,FALSE)</f>
        <v>82</v>
      </c>
      <c r="FC668" s="203" t="s">
        <v>67</v>
      </c>
      <c r="FD668" s="10">
        <f>FB668*1.2</f>
        <v>98.399999999999991</v>
      </c>
      <c r="FE668" s="10"/>
      <c r="FF668" s="268"/>
      <c r="FG668" s="203" t="s">
        <v>123</v>
      </c>
      <c r="FH668" s="422" t="s">
        <v>2846</v>
      </c>
      <c r="FJ668" s="204"/>
      <c r="FK668" s="204">
        <f>VLOOKUP(FH668,$A$681:$F$2272,6,FALSE)</f>
        <v>82</v>
      </c>
      <c r="FL668" s="203" t="s">
        <v>67</v>
      </c>
      <c r="FM668" s="10">
        <f>FK668*1.2</f>
        <v>98.399999999999991</v>
      </c>
      <c r="FN668" s="10"/>
      <c r="FO668" s="268"/>
      <c r="FP668" s="203" t="s">
        <v>123</v>
      </c>
      <c r="FQ668" s="277" t="s">
        <v>2074</v>
      </c>
      <c r="FS668" s="204"/>
      <c r="FT668" s="204">
        <f>VLOOKUP(FQ668,$A$681:$F$2272,6,FALSE)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2857</v>
      </c>
      <c r="GB668" s="204"/>
      <c r="GC668" s="204">
        <f>VLOOKUP(FZ668,$A$681:$F$2272,6,FALSE)</f>
        <v>59</v>
      </c>
      <c r="GD668" s="203" t="s">
        <v>67</v>
      </c>
      <c r="GE668" s="10">
        <f>GC668*1.2</f>
        <v>70.8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VLOOKUP(GI668,$A$681:$F$2272,6,FALSE)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2849</v>
      </c>
      <c r="GT668" s="204"/>
      <c r="GU668" s="204">
        <f>VLOOKUP(GR668,$A$681:$F$2272,6,FALSE)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2766</v>
      </c>
      <c r="HC668" s="204"/>
      <c r="HD668" s="204">
        <f>VLOOKUP(HA668,$A$681:$F$2272,6,FALSE)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VLOOKUP(HJ668,$A$681:$F$2272,6,FALSE)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VLOOKUP(HS668,$A$681:$F$2272,6,FALSE)</f>
        <v>54</v>
      </c>
      <c r="HW668" s="203" t="s">
        <v>67</v>
      </c>
      <c r="HX668" s="10">
        <f>HV668*1.2</f>
        <v>64.8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VLOOKUP(IB668,$A$681:$F$2272,6,FALSE)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2517</v>
      </c>
      <c r="IM668" s="204"/>
      <c r="IN668" s="204">
        <f>VLOOKUP(IK668,$A$681:$F$2272,6,FALSE)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VLOOKUP(IT668,$A$681:$F$2272,6,FALSE)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VLOOKUP(JC668,$A$681:$F$2272,6,FALSE)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2527</v>
      </c>
      <c r="JN668" s="204"/>
      <c r="JO668" s="204">
        <f>VLOOKUP(JL668,$A$681:$F$2272,6,FALSE)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VLOOKUP(JU668,$A$681:$F$2272,6,FALSE)</f>
        <v>65</v>
      </c>
      <c r="JY668" s="203" t="s">
        <v>67</v>
      </c>
      <c r="JZ668" s="10">
        <f>JX668*1.2</f>
        <v>78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VLOOKUP(KD668,$A$681:$F$2272,6,FALSE)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VLOOKUP(KM668,$A$681:$F$2272,6,FALSE)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VLOOKUP(KV668,$A$681:$F$2272,6,FALSE)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VLOOKUP(LE668,$A$681:$F$2272,6,FALSE)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VLOOKUP(LN668,$A$681:$F$2272,6,FALSE)</f>
        <v>54</v>
      </c>
      <c r="LR668" s="203" t="s">
        <v>67</v>
      </c>
      <c r="LS668" s="10">
        <f>LQ668*1.2</f>
        <v>64.8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VLOOKUP(LW668,$A$681:$F$2272,6,FALSE)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VLOOKUP(MF668,$A$681:$F$2272,6,FALSE)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VLOOKUP(MO668,$A$681:$F$2272,6,FALSE)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VLOOKUP(MX668,$A$681:$F$2272,6,FALSE)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VLOOKUP(NG668,$A$681:$F$2272,6,FALSE)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VLOOKUP(NP668,$A$681:$F$2272,6,FALSE)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2714</v>
      </c>
      <c r="OA668" s="204"/>
      <c r="OB668" s="204">
        <f>VLOOKUP(NY668,$A$681:$F$2272,6,FALSE)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VLOOKUP(OH668,$A$681:$F$2272,6,FALSE)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2620</v>
      </c>
      <c r="OS668" s="204"/>
      <c r="OT668" s="204">
        <f>VLOOKUP(OQ668,$A$681:$F$2272,6,FALSE)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29" t="s">
        <v>2846</v>
      </c>
      <c r="PB668" s="204"/>
      <c r="PC668" s="204">
        <f>VLOOKUP(OZ668,$A$681:$F$2272,6,FALSE)</f>
        <v>82</v>
      </c>
      <c r="PD668" s="203" t="s">
        <v>67</v>
      </c>
      <c r="PE668" s="10">
        <f>PC668*1.2</f>
        <v>98.399999999999991</v>
      </c>
      <c r="PF668" s="10"/>
      <c r="PG668" s="268"/>
      <c r="PH668" s="203" t="s">
        <v>123</v>
      </c>
      <c r="PI668" s="277" t="s">
        <v>2089</v>
      </c>
      <c r="PK668" s="204"/>
      <c r="PL668" s="204">
        <f>VLOOKUP(PI668,$A$681:$F$2272,6,FALSE)</f>
        <v>12</v>
      </c>
      <c r="PM668" s="203" t="s">
        <v>67</v>
      </c>
      <c r="PN668" s="10">
        <f>PL668*1.2</f>
        <v>14.399999999999999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VLOOKUP(PR668,$A$681:$F$2272,6,FALSE)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VLOOKUP(QA668,$A$681:$F$2272,6,FALSE)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VLOOKUP(QJ668,$A$681:$F$2272,6,FALSE)</f>
        <v>54</v>
      </c>
      <c r="QN668" s="203" t="s">
        <v>67</v>
      </c>
      <c r="QO668" s="10">
        <f>QM668*1.2</f>
        <v>64.8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VLOOKUP(QS668,$A$681:$F$2272,6,FALSE)</f>
        <v>114</v>
      </c>
      <c r="QW668" s="203" t="s">
        <v>67</v>
      </c>
      <c r="QX668" s="10">
        <f>QV668*1.2</f>
        <v>136.79999999999998</v>
      </c>
      <c r="QY668" s="10"/>
      <c r="QZ668" s="268"/>
      <c r="RA668" s="203" t="s">
        <v>123</v>
      </c>
      <c r="RB668" s="277" t="s">
        <v>2637</v>
      </c>
      <c r="RD668" s="204"/>
      <c r="RE668" s="204">
        <f>VLOOKUP(RB668,$A$681:$F$2272,6,FALSE)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VLOOKUP(RK668,$A$681:$F$2272,6,FALSE)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VLOOKUP(RT668,$A$681:$F$2272,6,FALSE)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VLOOKUP(SC668,$A$681:$F$2272,6,FALSE)</f>
        <v>54</v>
      </c>
      <c r="SG668" s="203" t="s">
        <v>67</v>
      </c>
      <c r="SH668" s="10">
        <f>SF668*1.2</f>
        <v>64.8</v>
      </c>
      <c r="SI668" s="10"/>
      <c r="SJ668" s="274"/>
      <c r="SK668" s="203" t="s">
        <v>123</v>
      </c>
      <c r="SL668" s="277" t="s">
        <v>2143</v>
      </c>
      <c r="SN668" s="204"/>
      <c r="SO668" s="204">
        <f>VLOOKUP(SL668,$A$681:$F$2272,6,FALSE)</f>
        <v>50</v>
      </c>
      <c r="SP668" s="203" t="s">
        <v>67</v>
      </c>
      <c r="SQ668" s="10">
        <f>SO668*1.2</f>
        <v>60</v>
      </c>
      <c r="SR668" s="10"/>
      <c r="SS668" s="274"/>
      <c r="ST668" s="203" t="s">
        <v>123</v>
      </c>
      <c r="SU668" s="277" t="s">
        <v>2851</v>
      </c>
      <c r="SW668" s="204"/>
      <c r="SX668" s="204">
        <f>VLOOKUP(SU668,$A$681:$F$2272,6,FALSE)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VLOOKUP(TD668,$A$681:$F$2272,6,FALSE)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2819</v>
      </c>
      <c r="TO668" s="204"/>
      <c r="TP668" s="204">
        <f>VLOOKUP(TM668,$A$681:$F$2272,6,FALSE)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VLOOKUP(TV668,$A$681:$F$2272,6,FALSE)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VLOOKUP(UE668,$A$681:$F$2272,6,FALSE)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VLOOKUP(UN668,$A$681:$F$2272,6,FALSE)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2080</v>
      </c>
      <c r="UY668" s="204"/>
      <c r="UZ668" s="204">
        <f>VLOOKUP(UW668,$A$681:$F$2272,6,FALSE)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2667</v>
      </c>
      <c r="VH668" s="204"/>
      <c r="VI668" s="204">
        <f>VLOOKUP(VF668,$A$681:$F$2272,6,FALSE)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VLOOKUP(VO668,$A$681:$F$2272,6,FALSE)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VLOOKUP(VX668,$A$681:$F$2272,6,FALSE)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2100</v>
      </c>
      <c r="WI668" s="204"/>
      <c r="WJ668" s="204">
        <f>VLOOKUP(WG668,$A$681:$F$2272,6,FALSE)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VLOOKUP(WP668,$A$681:$F$2272,6,FALSE)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VLOOKUP(WY668,$A$681:$F$2272,6,FALSE)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2123</v>
      </c>
      <c r="XJ668" s="204"/>
      <c r="XK668" s="204">
        <f>VLOOKUP(XH668,$A$681:$F$2272,6,FALSE)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1848</v>
      </c>
      <c r="XS668" s="204"/>
      <c r="XT668" s="204">
        <f>VLOOKUP(XQ668,$A$681:$F$2272,6,FALSE)</f>
        <v>69</v>
      </c>
      <c r="XU668" s="203" t="s">
        <v>67</v>
      </c>
      <c r="XV668" s="10">
        <f>XT668*1.2</f>
        <v>82.8</v>
      </c>
      <c r="XW668" s="10"/>
      <c r="XX668" s="274"/>
      <c r="XY668" s="203" t="s">
        <v>123</v>
      </c>
      <c r="XZ668" s="277" t="s">
        <v>2527</v>
      </c>
      <c r="YB668" s="204"/>
      <c r="YC668" s="204">
        <f>VLOOKUP(XZ668,$A$681:$F$2272,6,FALSE)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VLOOKUP(YI668,$A$681:$F$2272,6,FALSE)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VLOOKUP(YR668,$A$681:$F$2272,6,FALSE)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VLOOKUP(ZA668,$A$681:$F$2272,6,FALSE)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VLOOKUP(ZJ668,$A$681:$F$2272,6,FALSE)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VLOOKUP(ZS668,$A$681:$F$2272,6,FALSE)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2519</v>
      </c>
      <c r="AAD668" s="204"/>
      <c r="AAE668" s="204">
        <f>VLOOKUP(AAB668,$A$681:$F$2272,6,FALSE)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2527</v>
      </c>
      <c r="AAM668" s="204"/>
      <c r="AAN668" s="204">
        <f>VLOOKUP(AAK668,$A$681:$F$2272,6,FALSE)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VLOOKUP(AAT668,$A$681:$F$2272,6,FALSE)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VLOOKUP(ABC668,$A$681:$F$2272,6,FALSE)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2857</v>
      </c>
      <c r="ABN668" s="204"/>
      <c r="ABO668" s="204">
        <f>VLOOKUP(ABL668,$A$681:$F$2272,6,FALSE)</f>
        <v>59</v>
      </c>
      <c r="ABP668" s="203" t="s">
        <v>67</v>
      </c>
      <c r="ABQ668" s="10">
        <f>ABO668*1.2</f>
        <v>70.8</v>
      </c>
      <c r="ABR668" s="10"/>
      <c r="ABS668" s="274"/>
      <c r="ABT668" s="203" t="s">
        <v>123</v>
      </c>
      <c r="ABU668" s="277" t="s">
        <v>2154</v>
      </c>
      <c r="ABW668" s="204"/>
      <c r="ABX668" s="204">
        <f>VLOOKUP(ABU668,$A$681:$F$2272,6,FALSE)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VLOOKUP(ACD668,$A$681:$F$2272,6,FALSE)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VLOOKUP(ACM668,$A$681:$F$2272,6,FALSE)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VLOOKUP(ACV668,$A$681:$F$2272,6,FALSE)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VLOOKUP(ADE668,$A$681:$F$2272,6,FALSE)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VLOOKUP(ADN668,$A$681:$F$2272,6,FALSE)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VLOOKUP(ADW668,$A$681:$F$2272,6,FALSE)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VLOOKUP(AEF668,$A$681:$F$2272,6,FALSE)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VLOOKUP(AEO668,$A$681:$F$2272,6,FALSE)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VLOOKUP(AEX668,$A$681:$F$2272,6,FALSE)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VLOOKUP(AFG668,$A$681:$F$2272,6,FALSE)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VLOOKUP(AFP668,$A$681:$F$2272,6,FALSE)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VLOOKUP(AFY668,$A$681:$F$2272,6,FALSE)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VLOOKUP(AGH668,$A$681:$F$2272,6,FALSE)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VLOOKUP(AGQ668,$A$681:$F$2272,6,FALSE)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VLOOKUP(AGZ668,$A$681:$F$2272,6,FALSE)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VLOOKUP(AHI668,$A$681:$F$2272,6,FALSE)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2534</v>
      </c>
      <c r="AHT668" s="204"/>
      <c r="AHU668" s="204">
        <f>VLOOKUP(AHR668,$A$681:$F$2272,6,FALSE)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2060</v>
      </c>
      <c r="AIC668" s="204"/>
      <c r="AID668" s="204">
        <f>VLOOKUP(AIA668,$A$681:$F$2272,6,FALSE)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2714</v>
      </c>
      <c r="AIL668" s="204"/>
      <c r="AIM668" s="204">
        <f>VLOOKUP(AIJ668,$A$681:$F$2272,6,FALSE)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VLOOKUP(AIS668,$A$681:$F$2272,6,FALSE)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2753</v>
      </c>
      <c r="AJD668" s="204"/>
      <c r="AJE668" s="204">
        <f>VLOOKUP(AJB668,$A$681:$F$2272,6,FALSE)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VLOOKUP(AJK668,$A$681:$F$2272,6,FALSE)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2630</v>
      </c>
      <c r="AJV668" s="204"/>
      <c r="AJW668" s="204">
        <f>VLOOKUP(AJT668,$A$681:$F$2272,6,FALSE)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VLOOKUP(AKC668,$A$681:$F$2272,6,FALSE)</f>
        <v>54</v>
      </c>
      <c r="AKG668" s="203" t="s">
        <v>67</v>
      </c>
      <c r="AKH668" s="10">
        <f>AKF668*1.2</f>
        <v>64.8</v>
      </c>
      <c r="AKI668" s="10"/>
      <c r="AKJ668" s="274"/>
      <c r="AKK668" s="203" t="s">
        <v>123</v>
      </c>
      <c r="AKL668" s="277" t="s">
        <v>2857</v>
      </c>
      <c r="AKN668" s="204"/>
      <c r="AKO668" s="204">
        <f>VLOOKUP(AKL668,$A$681:$F$2272,6,FALSE)</f>
        <v>59</v>
      </c>
      <c r="AKP668" s="203" t="s">
        <v>67</v>
      </c>
      <c r="AKQ668" s="10">
        <f>AKO668*1.2</f>
        <v>70.8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VLOOKUP(AKU668,$A$681:$F$2272,6,FALSE)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VLOOKUP(ALD668,$A$681:$F$2272,6,FALSE)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VLOOKUP(ALM668,$A$681:$F$2272,6,FALSE)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VLOOKUP(ALV668,$A$681:$F$2272,6,FALSE)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VLOOKUP(AME668,$A$681:$F$2272,6,FALSE)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VLOOKUP(AMN668,$A$681:$F$2272,6,FALSE)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1848</v>
      </c>
      <c r="AMY668" s="204"/>
      <c r="AMZ668" s="204">
        <f>VLOOKUP(AMW668,$A$681:$F$2272,6,FALSE)</f>
        <v>69</v>
      </c>
      <c r="ANA668" s="203" t="s">
        <v>67</v>
      </c>
      <c r="ANB668" s="10">
        <f>AMZ668*1.2</f>
        <v>82.8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VLOOKUP(ANF668,$A$681:$F$2272,6,FALSE)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2854</v>
      </c>
      <c r="ANQ668" s="204"/>
      <c r="ANR668" s="204">
        <f>VLOOKUP(ANO668,$A$681:$F$2272,6,FALSE)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VLOOKUP(ANX668,$A$681:$F$2272,6,FALSE)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2791</v>
      </c>
      <c r="AOI668" s="204"/>
      <c r="AOJ668" s="204">
        <f>VLOOKUP(AOG668,$A$681:$F$2272,6,FALSE)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VLOOKUP(AOP668,$A$681:$F$2272,6,FALSE)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VLOOKUP(AOY668,$A$681:$F$2272,6,FALSE)</f>
        <v>54</v>
      </c>
      <c r="APC668" s="203" t="s">
        <v>67</v>
      </c>
      <c r="APD668" s="10">
        <f>APB668*1.2</f>
        <v>64.8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VLOOKUP(APH668,$A$681:$F$2272,6,FALSE)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VLOOKUP(APQ668,$A$681:$F$2272,6,FALSE)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VLOOKUP(APZ668,$A$681:$F$2272,6,FALSE)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VLOOKUP(B669,$A$681:$F$2272,6,FALSE)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VLOOKUP(K669,$A$681:$F$2272,6,FALSE)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2339</v>
      </c>
      <c r="V669" s="204"/>
      <c r="W669" s="204">
        <f>VLOOKUP(T669,$A$681:$F$2272,6,FALSE)</f>
        <v>58</v>
      </c>
      <c r="X669" s="203" t="s">
        <v>69</v>
      </c>
      <c r="Y669" s="10">
        <f>W669*1.1</f>
        <v>63.800000000000004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VLOOKUP(AC669,$A$681:$F$2272,6,FALSE)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2527</v>
      </c>
      <c r="AN669" s="204"/>
      <c r="AO669" s="204">
        <f>VLOOKUP(AL669,$A$681:$F$2272,6,FALSE)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2074</v>
      </c>
      <c r="AW669" s="204"/>
      <c r="AX669" s="204">
        <f>VLOOKUP(AU669,$A$681:$F$2272,6,FALSE)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2857</v>
      </c>
      <c r="BF669" s="204"/>
      <c r="BG669" s="204">
        <f>VLOOKUP(BD669,$A$681:$F$2272,6,FALSE)</f>
        <v>59</v>
      </c>
      <c r="BH669" s="203" t="s">
        <v>69</v>
      </c>
      <c r="BI669" s="10">
        <f>BG669*1.1</f>
        <v>64.900000000000006</v>
      </c>
      <c r="BJ669" s="10"/>
      <c r="BK669" s="268"/>
      <c r="BL669" s="203" t="s">
        <v>124</v>
      </c>
      <c r="BM669" s="277" t="s">
        <v>2143</v>
      </c>
      <c r="BO669" s="204"/>
      <c r="BP669" s="204">
        <f>VLOOKUP(BM669,$A$681:$F$2272,6,FALSE)</f>
        <v>50</v>
      </c>
      <c r="BQ669" s="203" t="s">
        <v>69</v>
      </c>
      <c r="BR669" s="10">
        <f>BP669*1.1</f>
        <v>55.000000000000007</v>
      </c>
      <c r="BS669" s="10"/>
      <c r="BT669" s="268"/>
      <c r="BU669" s="203" t="s">
        <v>124</v>
      </c>
      <c r="BV669" s="277" t="s">
        <v>2846</v>
      </c>
      <c r="BX669" s="204"/>
      <c r="BY669" s="204">
        <f>VLOOKUP(BV669,$A$681:$F$2272,6,FALSE)</f>
        <v>82</v>
      </c>
      <c r="BZ669" s="203" t="s">
        <v>69</v>
      </c>
      <c r="CA669" s="10">
        <f>BY669*1.1</f>
        <v>90.2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VLOOKUP(CE669,$A$681:$F$2272,6,FALSE)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VLOOKUP(CN669,$A$681:$F$2272,6,FALSE)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2766</v>
      </c>
      <c r="CY669" s="204"/>
      <c r="CZ669" s="204">
        <f>VLOOKUP(CW669,$A$681:$F$2272,6,FALSE)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2099</v>
      </c>
      <c r="DH669" s="204"/>
      <c r="DI669" s="204">
        <f>VLOOKUP(DF669,$A$681:$F$2272,6,FALSE)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VLOOKUP(DO669,$A$681:$F$2272,6,FALSE)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VLOOKUP(DX669,$A$681:$F$2272,6,FALSE)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VLOOKUP(EG669,$A$681:$F$2272,6,FALSE)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2791</v>
      </c>
      <c r="ER669" s="204"/>
      <c r="ES669" s="204">
        <f>VLOOKUP(EP669,$A$681:$F$2272,6,FALSE)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VLOOKUP(EY669,$A$681:$F$2272,6,FALSE)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VLOOKUP(FH669,$A$681:$F$2272,6,FALSE)</f>
        <v>54</v>
      </c>
      <c r="FL669" s="203" t="s">
        <v>69</v>
      </c>
      <c r="FM669" s="10">
        <f>FK669*1.1</f>
        <v>59.400000000000006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VLOOKUP(FQ669,$A$681:$F$2272,6,FALSE)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VLOOKUP(FZ669,$A$681:$F$2272,6,FALSE)</f>
        <v>54</v>
      </c>
      <c r="GD669" s="203" t="s">
        <v>69</v>
      </c>
      <c r="GE669" s="10">
        <f>GC669*1.1</f>
        <v>59.400000000000006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VLOOKUP(GI669,$A$681:$F$2272,6,FALSE)</f>
        <v>3</v>
      </c>
      <c r="GM669" s="203" t="s">
        <v>69</v>
      </c>
      <c r="GN669" s="10">
        <f>GL669*1.1</f>
        <v>3.3000000000000003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VLOOKUP(GR669,$A$681:$F$2272,6,FALSE)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VLOOKUP(HA669,$A$681:$F$2272,6,FALSE)</f>
        <v>54</v>
      </c>
      <c r="HE669" s="203" t="s">
        <v>69</v>
      </c>
      <c r="HF669" s="10">
        <f>HD669*1.1</f>
        <v>59.400000000000006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VLOOKUP(HJ669,$A$681:$F$2272,6,FALSE)</f>
        <v>65</v>
      </c>
      <c r="HN669" s="203" t="s">
        <v>69</v>
      </c>
      <c r="HO669" s="10">
        <f>HM669*1.1</f>
        <v>71.5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VLOOKUP(HS669,$A$681:$F$2272,6,FALSE)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VLOOKUP(IB669,$A$681:$F$2272,6,FALSE)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3112</v>
      </c>
      <c r="IM669" s="204"/>
      <c r="IN669" s="204">
        <f>VLOOKUP(IK669,$A$681:$F$2272,6,FALSE)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VLOOKUP(IT669,$A$681:$F$2272,6,FALSE)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2858</v>
      </c>
      <c r="JE669" s="204"/>
      <c r="JF669" s="204">
        <f>VLOOKUP(JC669,$A$681:$F$2272,6,FALSE)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2846</v>
      </c>
      <c r="JN669" s="204"/>
      <c r="JO669" s="204">
        <f>VLOOKUP(JL669,$A$681:$F$2272,6,FALSE)</f>
        <v>82</v>
      </c>
      <c r="JP669" s="203" t="s">
        <v>69</v>
      </c>
      <c r="JQ669" s="10">
        <f>JO669*1.1</f>
        <v>90.2</v>
      </c>
      <c r="JR669" s="10"/>
      <c r="JS669" s="268"/>
      <c r="JT669" s="203" t="s">
        <v>124</v>
      </c>
      <c r="JU669" s="277" t="s">
        <v>2339</v>
      </c>
      <c r="JW669" s="204"/>
      <c r="JX669" s="204">
        <f>VLOOKUP(JU669,$A$681:$F$2272,6,FALSE)</f>
        <v>58</v>
      </c>
      <c r="JY669" s="203" t="s">
        <v>69</v>
      </c>
      <c r="JZ669" s="10">
        <f>JX669*1.1</f>
        <v>63.800000000000004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VLOOKUP(KD669,$A$681:$F$2272,6,FALSE)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2846</v>
      </c>
      <c r="KO669" s="204"/>
      <c r="KP669" s="204">
        <f>VLOOKUP(KM669,$A$681:$F$2272,6,FALSE)</f>
        <v>82</v>
      </c>
      <c r="KQ669" s="203" t="s">
        <v>69</v>
      </c>
      <c r="KR669" s="10">
        <f>KP669*1.1</f>
        <v>90.2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VLOOKUP(KV669,$A$681:$F$2272,6,FALSE)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2858</v>
      </c>
      <c r="LG669" s="204"/>
      <c r="LH669" s="204">
        <f>VLOOKUP(LE669,$A$681:$F$2272,6,FALSE)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VLOOKUP(LN669,$A$681:$F$2272,6,FALSE)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VLOOKUP(LW669,$A$681:$F$2272,6,FALSE)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2527</v>
      </c>
      <c r="MH669" s="204"/>
      <c r="MI669" s="204">
        <f>VLOOKUP(MF669,$A$681:$F$2272,6,FALSE)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VLOOKUP(MO669,$A$681:$F$2272,6,FALSE)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VLOOKUP(MX669,$A$681:$F$2272,6,FALSE)</f>
        <v>54</v>
      </c>
      <c r="NB669" s="203" t="s">
        <v>69</v>
      </c>
      <c r="NC669" s="10">
        <f>NA669*1.1</f>
        <v>59.400000000000006</v>
      </c>
      <c r="ND669" s="10"/>
      <c r="NE669" s="268"/>
      <c r="NF669" s="203" t="s">
        <v>124</v>
      </c>
      <c r="NG669" s="277" t="s">
        <v>2523</v>
      </c>
      <c r="NI669" s="204"/>
      <c r="NJ669" s="204">
        <f>VLOOKUP(NG669,$A$681:$F$2272,6,FALSE)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2527</v>
      </c>
      <c r="NR669" s="204"/>
      <c r="NS669" s="204">
        <f>VLOOKUP(NP669,$A$681:$F$2272,6,FALSE)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2526</v>
      </c>
      <c r="OA669" s="204"/>
      <c r="OB669" s="204">
        <f>VLOOKUP(NY669,$A$681:$F$2272,6,FALSE)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VLOOKUP(OH669,$A$681:$F$2272,6,FALSE)</f>
        <v>54</v>
      </c>
      <c r="OL669" s="203" t="s">
        <v>69</v>
      </c>
      <c r="OM669" s="10">
        <f>OK669*1.1</f>
        <v>59.400000000000006</v>
      </c>
      <c r="ON669" s="10"/>
      <c r="OO669" s="268"/>
      <c r="OP669" s="203" t="s">
        <v>124</v>
      </c>
      <c r="OQ669" s="425" t="s">
        <v>2291</v>
      </c>
      <c r="OS669" s="204"/>
      <c r="OT669" s="204">
        <f>VLOOKUP(OQ669,$A$681:$F$2272,6,FALSE)</f>
        <v>50</v>
      </c>
      <c r="OU669" s="203" t="s">
        <v>69</v>
      </c>
      <c r="OV669" s="10">
        <f>OT669*1.1</f>
        <v>55.000000000000007</v>
      </c>
      <c r="OW669" s="10"/>
      <c r="OX669" s="268"/>
      <c r="OY669" s="203" t="s">
        <v>124</v>
      </c>
      <c r="OZ669" s="429" t="s">
        <v>2534</v>
      </c>
      <c r="PB669" s="204"/>
      <c r="PC669" s="204">
        <f>VLOOKUP(OZ669,$A$681:$F$2272,6,FALSE)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2846</v>
      </c>
      <c r="PK669" s="204"/>
      <c r="PL669" s="204">
        <f>VLOOKUP(PI669,$A$681:$F$2272,6,FALSE)</f>
        <v>82</v>
      </c>
      <c r="PM669" s="203" t="s">
        <v>69</v>
      </c>
      <c r="PN669" s="10">
        <f>PL669*1.1</f>
        <v>90.2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VLOOKUP(PR669,$A$681:$F$2272,6,FALSE)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VLOOKUP(QA669,$A$681:$F$2272,6,FALSE)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2858</v>
      </c>
      <c r="QL669" s="204"/>
      <c r="QM669" s="204">
        <f>VLOOKUP(QJ669,$A$681:$F$2272,6,FALSE)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2766</v>
      </c>
      <c r="QU669" s="204"/>
      <c r="QV669" s="204">
        <f>VLOOKUP(QS669,$A$681:$F$2272,6,FALSE)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VLOOKUP(RB669,$A$681:$F$2272,6,FALSE)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VLOOKUP(RK669,$A$681:$F$2272,6,FALSE)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VLOOKUP(RT669,$A$681:$F$2272,6,FALSE)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VLOOKUP(SC669,$A$681:$F$2272,6,FALSE)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2849</v>
      </c>
      <c r="SN669" s="204"/>
      <c r="SO669" s="204">
        <f>VLOOKUP(SL669,$A$681:$F$2272,6,FALSE)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VLOOKUP(SU669,$A$681:$F$2272,6,FALSE)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VLOOKUP(TD669,$A$681:$F$2272,6,FALSE)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VLOOKUP(TM669,$A$681:$F$2272,6,FALSE)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VLOOKUP(TV669,$A$681:$F$2272,6,FALSE)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VLOOKUP(UE669,$A$681:$F$2272,6,FALSE)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2074</v>
      </c>
      <c r="UP669" s="204"/>
      <c r="UQ669" s="204">
        <f>VLOOKUP(UN669,$A$681:$F$2272,6,FALSE)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VLOOKUP(UW669,$A$681:$F$2272,6,FALSE)</f>
        <v>65</v>
      </c>
      <c r="VA669" s="203" t="s">
        <v>69</v>
      </c>
      <c r="VB669" s="10">
        <f>UZ669*1.1</f>
        <v>71.5</v>
      </c>
      <c r="VC669" s="10"/>
      <c r="VD669" s="274"/>
      <c r="VE669" s="203" t="s">
        <v>124</v>
      </c>
      <c r="VF669" s="277" t="s">
        <v>2517</v>
      </c>
      <c r="VH669" s="204"/>
      <c r="VI669" s="204">
        <f>VLOOKUP(VF669,$A$681:$F$2272,6,FALSE)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VLOOKUP(VO669,$A$681:$F$2272,6,FALSE)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VLOOKUP(VX669,$A$681:$F$2272,6,FALSE)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2738</v>
      </c>
      <c r="WI669" s="204"/>
      <c r="WJ669" s="204">
        <f>VLOOKUP(WG669,$A$681:$F$2272,6,FALSE)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VLOOKUP(WP669,$A$681:$F$2272,6,FALSE)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VLOOKUP(WY669,$A$681:$F$2272,6,FALSE)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VLOOKUP(XH669,$A$681:$F$2272,6,FALSE)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2846</v>
      </c>
      <c r="XS669" s="204"/>
      <c r="XT669" s="204">
        <f>VLOOKUP(XQ669,$A$681:$F$2272,6,FALSE)</f>
        <v>82</v>
      </c>
      <c r="XU669" s="203" t="s">
        <v>69</v>
      </c>
      <c r="XV669" s="10">
        <f>XT669*1.1</f>
        <v>90.2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VLOOKUP(XZ669,$A$681:$F$2272,6,FALSE)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VLOOKUP(YI669,$A$681:$F$2272,6,FALSE)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VLOOKUP(YR669,$A$681:$F$2272,6,FALSE)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2835</v>
      </c>
      <c r="ZC669" s="204"/>
      <c r="ZD669" s="204">
        <f>VLOOKUP(ZA669,$A$681:$F$2272,6,FALSE)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VLOOKUP(ZJ669,$A$681:$F$2272,6,FALSE)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VLOOKUP(ZS669,$A$681:$F$2272,6,FALSE)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VLOOKUP(AAB669,$A$681:$F$2272,6,FALSE)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1838</v>
      </c>
      <c r="AAM669" s="204"/>
      <c r="AAN669" s="204">
        <f>VLOOKUP(AAK669,$A$681:$F$2272,6,FALSE)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2780</v>
      </c>
      <c r="AAV669" s="204"/>
      <c r="AAW669" s="204">
        <f>VLOOKUP(AAT669,$A$681:$F$2272,6,FALSE)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VLOOKUP(ABC669,$A$681:$F$2272,6,FALSE)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VLOOKUP(ABL669,$A$681:$F$2272,6,FALSE)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2835</v>
      </c>
      <c r="ABW669" s="204"/>
      <c r="ABX669" s="204">
        <f>VLOOKUP(ABU669,$A$681:$F$2272,6,FALSE)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VLOOKUP(ACD669,$A$681:$F$2272,6,FALSE)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VLOOKUP(ACM669,$A$681:$F$2272,6,FALSE)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VLOOKUP(ACV669,$A$681:$F$2272,6,FALSE)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VLOOKUP(ADE669,$A$681:$F$2272,6,FALSE)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VLOOKUP(ADN669,$A$681:$F$2272,6,FALSE)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VLOOKUP(ADW669,$A$681:$F$2272,6,FALSE)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VLOOKUP(AEF669,$A$681:$F$2272,6,FALSE)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VLOOKUP(AEO669,$A$681:$F$2272,6,FALSE)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VLOOKUP(AEX669,$A$681:$F$2272,6,FALSE)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VLOOKUP(AFG669,$A$681:$F$2272,6,FALSE)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VLOOKUP(AFP669,$A$681:$F$2272,6,FALSE)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VLOOKUP(AFY669,$A$681:$F$2272,6,FALSE)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VLOOKUP(AGH669,$A$681:$F$2272,6,FALSE)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VLOOKUP(AGQ669,$A$681:$F$2272,6,FALSE)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VLOOKUP(AGZ669,$A$681:$F$2272,6,FALSE)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2746</v>
      </c>
      <c r="AHK669" s="204"/>
      <c r="AHL669" s="204">
        <f>VLOOKUP(AHI669,$A$681:$F$2272,6,FALSE)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2527</v>
      </c>
      <c r="AHT669" s="204"/>
      <c r="AHU669" s="204">
        <f>VLOOKUP(AHR669,$A$681:$F$2272,6,FALSE)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VLOOKUP(AIA669,$A$681:$F$2272,6,FALSE)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2345</v>
      </c>
      <c r="AIL669" s="204"/>
      <c r="AIM669" s="204">
        <f>VLOOKUP(AIJ669,$A$681:$F$2272,6,FALSE)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VLOOKUP(AIS669,$A$681:$F$2272,6,FALSE)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2683</v>
      </c>
      <c r="AJD669" s="204"/>
      <c r="AJE669" s="204">
        <f>VLOOKUP(AJB669,$A$681:$F$2272,6,FALSE)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VLOOKUP(AJK669,$A$681:$F$2272,6,FALSE)</f>
        <v>15</v>
      </c>
      <c r="AJO669" s="203" t="s">
        <v>69</v>
      </c>
      <c r="AJP669" s="10">
        <f>AJN669*1.1</f>
        <v>16.5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VLOOKUP(AJT669,$A$681:$F$2272,6,FALSE)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VLOOKUP(AKC669,$A$681:$F$2272,6,FALSE)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2835</v>
      </c>
      <c r="AKN669" s="204"/>
      <c r="AKO669" s="204">
        <f>VLOOKUP(AKL669,$A$681:$F$2272,6,FALSE)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VLOOKUP(AKU669,$A$681:$F$2272,6,FALSE)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VLOOKUP(ALD669,$A$681:$F$2272,6,FALSE)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2654</v>
      </c>
      <c r="ALO669" s="204"/>
      <c r="ALP669" s="204">
        <f>VLOOKUP(ALM669,$A$681:$F$2272,6,FALSE)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VLOOKUP(ALV669,$A$681:$F$2272,6,FALSE)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VLOOKUP(AME669,$A$681:$F$2272,6,FALSE)</f>
        <v>114</v>
      </c>
      <c r="AMI669" s="203" t="s">
        <v>69</v>
      </c>
      <c r="AMJ669" s="10">
        <f>AMH669*1.1</f>
        <v>125.4</v>
      </c>
      <c r="AMK669" s="10"/>
      <c r="AML669" s="274"/>
      <c r="AMM669" s="203" t="s">
        <v>124</v>
      </c>
      <c r="AMN669" s="277" t="s">
        <v>2766</v>
      </c>
      <c r="AMP669" s="204"/>
      <c r="AMQ669" s="204">
        <f>VLOOKUP(AMN669,$A$681:$F$2272,6,FALSE)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VLOOKUP(AMW669,$A$681:$F$2272,6,FALSE)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VLOOKUP(ANF669,$A$681:$F$2272,6,FALSE)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VLOOKUP(ANO669,$A$681:$F$2272,6,FALSE)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2758</v>
      </c>
      <c r="ANZ669" s="204"/>
      <c r="AOA669" s="204">
        <f>VLOOKUP(ANX669,$A$681:$F$2272,6,FALSE)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2835</v>
      </c>
      <c r="AOI669" s="204"/>
      <c r="AOJ669" s="204">
        <f>VLOOKUP(AOG669,$A$681:$F$2272,6,FALSE)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2639</v>
      </c>
      <c r="AOR669" s="204"/>
      <c r="AOS669" s="204">
        <f>VLOOKUP(AOP669,$A$681:$F$2272,6,FALSE)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VLOOKUP(AOY669,$A$681:$F$2272,6,FALSE)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2131</v>
      </c>
      <c r="APJ669" s="204"/>
      <c r="APK669" s="204">
        <f>VLOOKUP(APH669,$A$681:$F$2272,6,FALSE)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VLOOKUP(APQ669,$A$681:$F$2272,6,FALSE)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VLOOKUP(APZ669,$A$681:$F$2272,6,FALSE)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285.5</v>
      </c>
      <c r="I670" s="267"/>
      <c r="Q670" s="10">
        <f>SUM(P665:P669)</f>
        <v>98.1</v>
      </c>
      <c r="R670" s="267"/>
      <c r="Z670" s="10">
        <f>SUM(Y665:Y669)</f>
        <v>278.60000000000002</v>
      </c>
      <c r="AA670" s="267"/>
      <c r="AI670" s="10">
        <f>SUM(AH665:AH669)</f>
        <v>197.6</v>
      </c>
      <c r="AJ670" s="267"/>
      <c r="AR670" s="10">
        <f>SUM(AQ665:AQ669)</f>
        <v>182</v>
      </c>
      <c r="AS670" s="267"/>
      <c r="AW670" s="1"/>
      <c r="BA670" s="10">
        <f>SUM(AZ665:AZ669)</f>
        <v>39.199999999999996</v>
      </c>
      <c r="BB670" s="267"/>
      <c r="BF670" s="1"/>
      <c r="BJ670" s="10">
        <f>SUM(BI665:BI669)</f>
        <v>94.300000000000011</v>
      </c>
      <c r="BK670" s="267"/>
      <c r="BO670" s="1"/>
      <c r="BS670" s="10">
        <f>SUM(BR665:BR669)</f>
        <v>227.5</v>
      </c>
      <c r="BT670" s="267"/>
      <c r="BX670" s="1"/>
      <c r="CB670" s="10">
        <f>SUM(CA665:CA669)</f>
        <v>146.30000000000001</v>
      </c>
      <c r="CC670" s="267"/>
      <c r="CG670" s="1"/>
      <c r="CK670" s="10">
        <f>SUM(CJ665:CJ669)</f>
        <v>75.599999999999994</v>
      </c>
      <c r="CL670" s="267"/>
      <c r="CP670" s="1"/>
      <c r="CT670" s="10">
        <f>SUM(CS665:CS669)</f>
        <v>169.20000000000002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289.79999999999995</v>
      </c>
      <c r="DM670" s="267"/>
      <c r="DQ670" s="1"/>
      <c r="DU670" s="10">
        <f>SUM(DT665:DT669)</f>
        <v>148.19999999999999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173.7</v>
      </c>
      <c r="EW670" s="267"/>
      <c r="FA670" s="1"/>
      <c r="FE670" s="10">
        <f>SUM(FD665:FD669)</f>
        <v>204.39999999999998</v>
      </c>
      <c r="FF670" s="267"/>
      <c r="FJ670" s="1"/>
      <c r="FN670" s="10">
        <f>SUM(FM665:FM669)</f>
        <v>180.3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264.5</v>
      </c>
      <c r="GG670" s="267"/>
      <c r="GK670" s="1"/>
      <c r="GO670" s="10">
        <f>SUM(GN665:GN669)</f>
        <v>100.39999999999999</v>
      </c>
      <c r="GP670" s="267"/>
      <c r="GR670" s="14"/>
      <c r="GX670" s="10">
        <f>SUM(GW665:GW669)</f>
        <v>199.2</v>
      </c>
      <c r="GY670" s="267"/>
      <c r="HC670" s="1"/>
      <c r="HG670" s="10">
        <f>SUM(HF665:HF669)</f>
        <v>59.400000000000006</v>
      </c>
      <c r="HH670" s="267"/>
      <c r="HP670" s="10">
        <f>SUM(HO665:HO669)</f>
        <v>162.69999999999999</v>
      </c>
      <c r="HQ670" s="267"/>
      <c r="HR670" s="1"/>
      <c r="HU670" s="1"/>
      <c r="HV670" s="1"/>
      <c r="HW670" s="1"/>
      <c r="HX670" s="1"/>
      <c r="HY670" s="10">
        <f>SUM(HX665:HX669)</f>
        <v>354.90000000000003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51.3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28.4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178.4</v>
      </c>
      <c r="JS670" s="267"/>
      <c r="JT670" s="1"/>
      <c r="JW670" s="1"/>
      <c r="JX670" s="1"/>
      <c r="JY670" s="1"/>
      <c r="JZ670" s="1"/>
      <c r="KA670" s="10">
        <f>SUM(JZ665:JZ669)</f>
        <v>141.80000000000001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103.2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98.1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85.8</v>
      </c>
      <c r="LU670" s="267"/>
      <c r="LV670" s="1"/>
      <c r="LY670" s="1"/>
      <c r="LZ670" s="1"/>
      <c r="MA670" s="1"/>
      <c r="MB670" s="1"/>
      <c r="MC670" s="10">
        <f>SUM(MB665:MB669)</f>
        <v>12.7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95</v>
      </c>
      <c r="MV670" s="267"/>
      <c r="MW670" s="1"/>
      <c r="MZ670" s="1"/>
      <c r="NA670" s="1"/>
      <c r="NB670" s="1"/>
      <c r="NC670" s="1"/>
      <c r="ND670" s="10">
        <f>SUM(NC665:NC669)</f>
        <v>253.1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140.6</v>
      </c>
      <c r="OO670" s="267"/>
      <c r="OP670" s="1"/>
      <c r="OS670" s="1"/>
      <c r="OT670" s="1"/>
      <c r="OU670" s="1"/>
      <c r="OV670" s="1"/>
      <c r="OW670" s="10">
        <f>SUM(OV665:OV669)</f>
        <v>161.60000000000002</v>
      </c>
      <c r="OX670" s="267"/>
      <c r="OY670" s="1"/>
      <c r="PB670" s="1"/>
      <c r="PC670" s="1"/>
      <c r="PD670" s="1"/>
      <c r="PE670" s="1"/>
      <c r="PF670" s="10">
        <f>SUM(PE665:PE669)</f>
        <v>302.89999999999998</v>
      </c>
      <c r="PG670" s="267"/>
      <c r="PH670" s="1"/>
      <c r="PK670" s="1"/>
      <c r="PL670" s="1"/>
      <c r="PM670" s="1"/>
      <c r="PN670" s="1"/>
      <c r="PO670" s="10">
        <f>SUM(PN665:PN669)</f>
        <v>197.10000000000002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248.8</v>
      </c>
      <c r="QQ670" s="267"/>
      <c r="QR670" s="1"/>
      <c r="QU670" s="1"/>
      <c r="QV670" s="1"/>
      <c r="QW670" s="1"/>
      <c r="QX670" s="1"/>
      <c r="QY670" s="10">
        <f>SUM(QX665:QX669)</f>
        <v>152.29999999999998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111.6</v>
      </c>
      <c r="SJ670" s="42"/>
      <c r="SK670" s="2"/>
      <c r="SN670" s="1"/>
      <c r="SO670" s="1"/>
      <c r="SP670" s="1"/>
      <c r="SQ670" s="1"/>
      <c r="SR670" s="10">
        <f>SUM(SQ665:SQ669)</f>
        <v>231.5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93.6</v>
      </c>
      <c r="TK670" s="42"/>
      <c r="TL670" s="2"/>
      <c r="TO670" s="1"/>
      <c r="TP670" s="1"/>
      <c r="TQ670" s="1"/>
      <c r="TR670" s="1"/>
      <c r="TS670" s="10">
        <f>SUM(TR665:TR669)</f>
        <v>64.900000000000006</v>
      </c>
      <c r="TT670" s="42"/>
      <c r="TU670" s="2"/>
      <c r="TX670" s="1"/>
      <c r="TY670" s="1"/>
      <c r="TZ670" s="1"/>
      <c r="UA670" s="1"/>
      <c r="UB670" s="10">
        <f>SUM(UA665:UA669)</f>
        <v>183.39999999999998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115.4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192.5</v>
      </c>
      <c r="XX670" s="42"/>
      <c r="XY670" s="2"/>
      <c r="YF670" s="10">
        <f>SUM(YE665:YE669)</f>
        <v>188.6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179.1</v>
      </c>
      <c r="ZH670" s="42"/>
      <c r="ZI670" s="2"/>
      <c r="ZP670" s="10">
        <f>SUM(ZO665:ZO669)</f>
        <v>21</v>
      </c>
      <c r="ZQ670" s="42"/>
      <c r="ZR670" s="2"/>
      <c r="ZU670" s="1"/>
      <c r="ZV670" s="1"/>
      <c r="ZW670" s="1"/>
      <c r="ZX670" s="1"/>
      <c r="ZY670" s="10">
        <f>SUM(ZX665:ZX669)</f>
        <v>50.5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131.30000000000001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95.5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124.19999999999999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30</v>
      </c>
      <c r="AJR670" s="42"/>
      <c r="AJS670" s="2"/>
      <c r="AJV670" s="1"/>
      <c r="AJW670" s="1"/>
      <c r="AJX670" s="1"/>
      <c r="AJY670" s="1"/>
      <c r="AJZ670" s="10">
        <f>SUM(AJY665:AJY669)</f>
        <v>78.8</v>
      </c>
      <c r="AKA670" s="42"/>
      <c r="AKB670" s="2"/>
      <c r="AKE670" s="1"/>
      <c r="AKF670" s="1"/>
      <c r="AKG670" s="1"/>
      <c r="AKH670" s="1"/>
      <c r="AKI670" s="10">
        <f>SUM(AKH665:AKH669)</f>
        <v>99.3</v>
      </c>
      <c r="AKJ670" s="42"/>
      <c r="AKK670" s="2"/>
      <c r="AKN670" s="1"/>
      <c r="AKO670" s="1"/>
      <c r="AKP670" s="1"/>
      <c r="AKQ670" s="1"/>
      <c r="AKR670" s="10">
        <f>SUM(AKQ665:AKQ669)</f>
        <v>106.8</v>
      </c>
      <c r="AKS670" s="42"/>
      <c r="AKT670" s="2"/>
      <c r="AKW670" s="1"/>
      <c r="AKX670" s="1"/>
      <c r="AKY670" s="1"/>
      <c r="AKZ670" s="1"/>
      <c r="ALA670" s="10">
        <f>SUM(AKZ665:AKZ669)</f>
        <v>49.5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224.4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276.8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70.2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78</v>
      </c>
      <c r="AOW670" s="42"/>
      <c r="AOX670" s="2"/>
      <c r="APA670" s="1"/>
      <c r="APB670" s="1"/>
      <c r="APC670" s="1"/>
      <c r="APD670" s="1"/>
      <c r="APE670" s="10">
        <f>SUM(APD665:APD669)</f>
        <v>95.3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29.9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8131.8999999999978</v>
      </c>
      <c r="H672" s="57"/>
      <c r="I672" s="273"/>
      <c r="J672" s="57"/>
      <c r="N672" s="15" t="s">
        <v>1552</v>
      </c>
      <c r="O672" s="57"/>
      <c r="P672" s="205">
        <f>SUM(P599:P669)</f>
        <v>7896.9000000000015</v>
      </c>
      <c r="Q672" s="57"/>
      <c r="R672" s="273"/>
      <c r="S672" s="57"/>
      <c r="W672" s="15" t="s">
        <v>1552</v>
      </c>
      <c r="X672" s="57"/>
      <c r="Y672" s="205">
        <f>SUM(Y599:Y669)</f>
        <v>7924.2999999999993</v>
      </c>
      <c r="Z672" s="57"/>
      <c r="AA672" s="273"/>
      <c r="AB672" s="57"/>
      <c r="AF672" s="15" t="s">
        <v>1552</v>
      </c>
      <c r="AG672" s="57"/>
      <c r="AH672" s="205">
        <f>SUM(AH599:AH669)</f>
        <v>7478.9</v>
      </c>
      <c r="AI672" s="57"/>
      <c r="AJ672" s="273"/>
      <c r="AK672" s="57"/>
      <c r="AO672" s="15" t="s">
        <v>1552</v>
      </c>
      <c r="AP672" s="57"/>
      <c r="AQ672" s="205">
        <f>SUM(AQ599:AQ669)</f>
        <v>8789.8000000000011</v>
      </c>
      <c r="AR672" s="57"/>
      <c r="AS672" s="273"/>
      <c r="AT672" s="57"/>
      <c r="AX672" s="15" t="s">
        <v>1552</v>
      </c>
      <c r="AY672" s="57"/>
      <c r="AZ672" s="205">
        <f>SUM(AZ599:AZ669)</f>
        <v>7708.7000000000007</v>
      </c>
      <c r="BA672" s="57"/>
      <c r="BB672" s="273"/>
      <c r="BC672" s="57"/>
      <c r="BG672" s="15" t="s">
        <v>1552</v>
      </c>
      <c r="BH672" s="57"/>
      <c r="BI672" s="205">
        <f>SUM(BI599:BI669)</f>
        <v>7577.1</v>
      </c>
      <c r="BJ672" s="57"/>
      <c r="BK672" s="273"/>
      <c r="BL672" s="57"/>
      <c r="BP672" s="15" t="s">
        <v>1552</v>
      </c>
      <c r="BQ672" s="57"/>
      <c r="BR672" s="205">
        <f>SUM(BR599:BR669)</f>
        <v>8315.8000000000029</v>
      </c>
      <c r="BS672" s="57"/>
      <c r="BT672" s="273"/>
      <c r="BU672" s="57"/>
      <c r="BY672" s="15" t="s">
        <v>1552</v>
      </c>
      <c r="BZ672" s="57"/>
      <c r="CA672" s="205">
        <f>SUM(CA599:CA669)</f>
        <v>7814.7000000000007</v>
      </c>
      <c r="CB672" s="57"/>
      <c r="CC672" s="273"/>
      <c r="CD672" s="57"/>
      <c r="CH672" s="15" t="s">
        <v>1552</v>
      </c>
      <c r="CI672" s="57"/>
      <c r="CJ672" s="205">
        <f>SUM(CJ599:CJ669)</f>
        <v>8153.1000000000013</v>
      </c>
      <c r="CK672" s="57"/>
      <c r="CL672" s="273"/>
      <c r="CM672" s="57"/>
      <c r="CQ672" s="15" t="s">
        <v>1552</v>
      </c>
      <c r="CR672" s="57"/>
      <c r="CS672" s="205">
        <f>SUM(CS599:CS669)</f>
        <v>7374.3999999999987</v>
      </c>
      <c r="CT672" s="57"/>
      <c r="CU672" s="273"/>
      <c r="CV672" s="57"/>
      <c r="CZ672" s="15" t="s">
        <v>1552</v>
      </c>
      <c r="DA672" s="57"/>
      <c r="DB672" s="205">
        <f>SUM(DB599:DB669)</f>
        <v>8613.9000000000015</v>
      </c>
      <c r="DC672" s="57"/>
      <c r="DD672" s="273"/>
      <c r="DE672" s="57"/>
      <c r="DI672" s="15" t="s">
        <v>1552</v>
      </c>
      <c r="DJ672" s="57"/>
      <c r="DK672" s="205">
        <f>SUM(DK599:DK669)</f>
        <v>7570.6</v>
      </c>
      <c r="DL672" s="57"/>
      <c r="DM672" s="273"/>
      <c r="DN672" s="57"/>
      <c r="DR672" s="15" t="s">
        <v>1552</v>
      </c>
      <c r="DS672" s="57"/>
      <c r="DT672" s="205">
        <f>SUM(DT599:DT669)</f>
        <v>8105.9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6636.6</v>
      </c>
      <c r="EM672" s="57"/>
      <c r="EN672" s="273"/>
      <c r="EO672" s="57"/>
      <c r="ES672" s="15" t="s">
        <v>1552</v>
      </c>
      <c r="ET672" s="57"/>
      <c r="EU672" s="205">
        <f>SUM(EU599:EU669)</f>
        <v>8036.6</v>
      </c>
      <c r="EV672" s="57"/>
      <c r="EW672" s="273"/>
      <c r="EX672" s="57"/>
      <c r="FB672" s="15" t="s">
        <v>1552</v>
      </c>
      <c r="FC672" s="57"/>
      <c r="FD672" s="205">
        <f>SUM(FD599:FD669)</f>
        <v>8044.3000000000011</v>
      </c>
      <c r="FE672" s="57"/>
      <c r="FF672" s="273"/>
      <c r="FG672" s="57"/>
      <c r="FK672" s="15" t="s">
        <v>1552</v>
      </c>
      <c r="FL672" s="57"/>
      <c r="FM672" s="205">
        <f>SUM(FM599:FM669)</f>
        <v>7880.1999999999989</v>
      </c>
      <c r="FN672" s="57"/>
      <c r="FO672" s="273"/>
      <c r="FP672" s="57"/>
      <c r="FT672" s="15" t="s">
        <v>1552</v>
      </c>
      <c r="FU672" s="57"/>
      <c r="FV672" s="205">
        <f>SUM(FV599:FV669)</f>
        <v>8577.3000000000011</v>
      </c>
      <c r="FW672" s="57"/>
      <c r="FX672" s="273"/>
      <c r="FY672" s="57"/>
      <c r="GC672" s="15" t="s">
        <v>1552</v>
      </c>
      <c r="GD672" s="57"/>
      <c r="GE672" s="205">
        <f>SUM(GE599:GE669)</f>
        <v>7398.7</v>
      </c>
      <c r="GF672" s="57"/>
      <c r="GG672" s="273"/>
      <c r="GH672" s="57"/>
      <c r="GL672" s="15" t="s">
        <v>1552</v>
      </c>
      <c r="GM672" s="57"/>
      <c r="GN672" s="205">
        <f>SUM(GN599:GN669)</f>
        <v>7657.5999999999995</v>
      </c>
      <c r="GO672" s="57"/>
      <c r="GP672" s="273"/>
      <c r="GQ672" s="57"/>
      <c r="GU672" s="15" t="s">
        <v>1552</v>
      </c>
      <c r="GV672" s="57"/>
      <c r="GW672" s="205">
        <f>SUM(GW599:GW669)</f>
        <v>7776.9999999999991</v>
      </c>
      <c r="GX672" s="57"/>
      <c r="GY672" s="273"/>
      <c r="GZ672" s="57"/>
      <c r="HD672" s="15" t="s">
        <v>1552</v>
      </c>
      <c r="HE672" s="57"/>
      <c r="HF672" s="205">
        <f>SUM(HF599:HF669)</f>
        <v>7658.4500000000025</v>
      </c>
      <c r="HG672" s="57"/>
      <c r="HH672" s="273"/>
      <c r="HI672" s="57"/>
      <c r="HM672" s="15" t="s">
        <v>1552</v>
      </c>
      <c r="HN672" s="57"/>
      <c r="HO672" s="205">
        <f>SUM(HO599:HO669)</f>
        <v>8255</v>
      </c>
      <c r="HP672" s="57"/>
      <c r="HQ672" s="273"/>
      <c r="HR672" s="57"/>
      <c r="HV672" s="15" t="s">
        <v>1552</v>
      </c>
      <c r="HW672" s="57"/>
      <c r="HX672" s="205">
        <f>SUM(HX599:HX669)</f>
        <v>7750.1999999999989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8110.399999999996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6906.5000000000009</v>
      </c>
      <c r="IZ672" s="57"/>
      <c r="JA672" s="273"/>
      <c r="JB672" s="57"/>
      <c r="JF672" s="15" t="s">
        <v>1552</v>
      </c>
      <c r="JG672" s="57"/>
      <c r="JH672" s="205">
        <f>SUM(JH599:JH669)</f>
        <v>7672.2</v>
      </c>
      <c r="JI672" s="57"/>
      <c r="JJ672" s="273"/>
      <c r="JK672" s="57"/>
      <c r="JO672" s="15" t="s">
        <v>1552</v>
      </c>
      <c r="JP672" s="57"/>
      <c r="JQ672" s="205">
        <f>SUM(JQ599:JQ669)</f>
        <v>6263.5999999999995</v>
      </c>
      <c r="JR672" s="57"/>
      <c r="JS672" s="273"/>
      <c r="JT672" s="57"/>
      <c r="JX672" s="15" t="s">
        <v>1552</v>
      </c>
      <c r="JY672" s="57"/>
      <c r="JZ672" s="205">
        <f>SUM(JZ599:JZ669)</f>
        <v>7840.6999999999989</v>
      </c>
      <c r="KA672" s="57"/>
      <c r="KB672" s="273"/>
      <c r="KC672" s="57"/>
      <c r="KG672" s="15" t="s">
        <v>1552</v>
      </c>
      <c r="KH672" s="57"/>
      <c r="KI672" s="205">
        <f>SUM(KI599:KI669)</f>
        <v>7751.8</v>
      </c>
      <c r="KJ672" s="57"/>
      <c r="KK672" s="273"/>
      <c r="KL672" s="57"/>
      <c r="KP672" s="15" t="s">
        <v>1552</v>
      </c>
      <c r="KQ672" s="57"/>
      <c r="KR672" s="205">
        <f>SUM(KR599:KR669)</f>
        <v>7340.0000000000018</v>
      </c>
      <c r="KS672" s="57"/>
      <c r="KT672" s="273"/>
      <c r="KU672" s="57"/>
      <c r="KY672" s="15" t="s">
        <v>1552</v>
      </c>
      <c r="KZ672" s="57"/>
      <c r="LA672" s="205">
        <f>SUM(LA599:LA669)</f>
        <v>8420.9000000000015</v>
      </c>
      <c r="LB672" s="57"/>
      <c r="LC672" s="273"/>
      <c r="LD672" s="57"/>
      <c r="LH672" s="15" t="s">
        <v>1552</v>
      </c>
      <c r="LI672" s="57"/>
      <c r="LJ672" s="205">
        <f>SUM(LJ599:LJ669)</f>
        <v>7364.1000000000022</v>
      </c>
      <c r="LK672" s="57"/>
      <c r="LL672" s="273"/>
      <c r="LM672" s="57"/>
      <c r="LQ672" s="15" t="s">
        <v>1552</v>
      </c>
      <c r="LR672" s="57"/>
      <c r="LS672" s="205">
        <f>SUM(LS599:LS669)</f>
        <v>8455.4</v>
      </c>
      <c r="LT672" s="57"/>
      <c r="LU672" s="273"/>
      <c r="LV672" s="57"/>
      <c r="LZ672" s="15" t="s">
        <v>1552</v>
      </c>
      <c r="MA672" s="57"/>
      <c r="MB672" s="205">
        <f>SUM(MB599:MB669)</f>
        <v>6979.2999999999993</v>
      </c>
      <c r="MC672" s="57"/>
      <c r="MD672" s="273"/>
      <c r="ME672" s="57"/>
      <c r="MI672" s="15" t="s">
        <v>1552</v>
      </c>
      <c r="MJ672" s="57"/>
      <c r="MK672" s="205">
        <f>SUM(MK599:MK669)</f>
        <v>8583.9000000000033</v>
      </c>
      <c r="ML672" s="57"/>
      <c r="MM672" s="273"/>
      <c r="MN672" s="57"/>
      <c r="MR672" s="15" t="s">
        <v>1552</v>
      </c>
      <c r="MS672" s="57"/>
      <c r="MT672" s="205">
        <f>SUM(MT599:MT669)</f>
        <v>7259.0000000000009</v>
      </c>
      <c r="MU672" s="57"/>
      <c r="MV672" s="273"/>
      <c r="MW672" s="57"/>
      <c r="NA672" s="15" t="s">
        <v>1552</v>
      </c>
      <c r="NB672" s="57"/>
      <c r="NC672" s="205">
        <f>SUM(NC599:NC669)</f>
        <v>7682.7999999999993</v>
      </c>
      <c r="ND672" s="57"/>
      <c r="NE672" s="273"/>
      <c r="NF672" s="57"/>
      <c r="NJ672" s="15" t="s">
        <v>1552</v>
      </c>
      <c r="NK672" s="57"/>
      <c r="NL672" s="205">
        <f>SUM(NL599:NL669)</f>
        <v>6217.9000000000015</v>
      </c>
      <c r="NM672" s="57"/>
      <c r="NN672" s="273"/>
      <c r="NO672" s="57"/>
      <c r="NS672" s="15" t="s">
        <v>1552</v>
      </c>
      <c r="NT672" s="57"/>
      <c r="NU672" s="205">
        <f>SUM(NU599:NU669)</f>
        <v>6805.6000000000013</v>
      </c>
      <c r="NV672" s="57"/>
      <c r="NW672" s="273"/>
      <c r="NX672" s="57"/>
      <c r="OB672" s="15" t="s">
        <v>1552</v>
      </c>
      <c r="OC672" s="57"/>
      <c r="OD672" s="205">
        <f>SUM(OD599:OD669)</f>
        <v>4045.6</v>
      </c>
      <c r="OE672" s="57"/>
      <c r="OF672" s="273"/>
      <c r="OG672" s="57"/>
      <c r="OK672" s="15" t="s">
        <v>1552</v>
      </c>
      <c r="OL672" s="57"/>
      <c r="OM672" s="205">
        <f>SUM(OM599:OM669)</f>
        <v>7577.3999999999978</v>
      </c>
      <c r="ON672" s="57"/>
      <c r="OO672" s="273"/>
      <c r="OP672" s="57"/>
      <c r="OT672" s="15" t="s">
        <v>1552</v>
      </c>
      <c r="OU672" s="57"/>
      <c r="OV672" s="205">
        <f>SUM(OV599:OV669)</f>
        <v>5595.9</v>
      </c>
      <c r="OW672" s="57"/>
      <c r="OX672" s="273"/>
      <c r="OY672" s="57"/>
      <c r="PC672" s="15" t="s">
        <v>1552</v>
      </c>
      <c r="PD672" s="57"/>
      <c r="PE672" s="205">
        <f>SUM(PE599:PE669)</f>
        <v>8144.6</v>
      </c>
      <c r="PF672" s="57"/>
      <c r="PG672" s="273"/>
      <c r="PH672" s="57"/>
      <c r="PL672" s="15" t="s">
        <v>1552</v>
      </c>
      <c r="PM672" s="57"/>
      <c r="PN672" s="205">
        <f>SUM(PN599:PN669)</f>
        <v>7425.1999999999989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6552.5</v>
      </c>
      <c r="QG672" s="57"/>
      <c r="QH672" s="273"/>
      <c r="QI672" s="57"/>
      <c r="QM672" s="15" t="s">
        <v>1552</v>
      </c>
      <c r="QN672" s="57"/>
      <c r="QO672" s="205">
        <f>SUM(QO599:QO669)</f>
        <v>8070</v>
      </c>
      <c r="QP672" s="57"/>
      <c r="QQ672" s="273"/>
      <c r="QR672" s="57"/>
      <c r="QV672" s="15" t="s">
        <v>1552</v>
      </c>
      <c r="QW672" s="57"/>
      <c r="QX672" s="205">
        <f>SUM(QX599:QX669)</f>
        <v>7594.2000000000007</v>
      </c>
      <c r="QY672" s="57"/>
      <c r="QZ672" s="273"/>
      <c r="RA672" s="57"/>
      <c r="RE672" s="15" t="s">
        <v>1552</v>
      </c>
      <c r="RF672" s="57"/>
      <c r="RG672" s="205">
        <f>SUM(RG599:RG669)</f>
        <v>8127.05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8933.4000000000033</v>
      </c>
      <c r="SA672" s="275"/>
      <c r="SB672" s="182"/>
      <c r="SF672" s="15" t="s">
        <v>1552</v>
      </c>
      <c r="SH672" s="205">
        <f>SUM(SH599:SH669)</f>
        <v>8663.9000000000015</v>
      </c>
      <c r="SJ672" s="275"/>
      <c r="SK672" s="182"/>
      <c r="SO672" s="15" t="s">
        <v>1552</v>
      </c>
      <c r="SQ672" s="205">
        <f>SUM(SQ599:SQ669)</f>
        <v>7929.8000000000011</v>
      </c>
      <c r="SS672" s="275"/>
      <c r="ST672" s="182"/>
      <c r="SX672" s="15" t="s">
        <v>1552</v>
      </c>
      <c r="SZ672" s="205">
        <f>SUM(SZ599:SZ669)</f>
        <v>5558.7</v>
      </c>
      <c r="TB672" s="275"/>
      <c r="TC672" s="182"/>
      <c r="TG672" s="15" t="s">
        <v>1552</v>
      </c>
      <c r="TI672" s="205">
        <f>SUM(TI599:TI669)</f>
        <v>7802.4000000000024</v>
      </c>
      <c r="TK672" s="275"/>
      <c r="TL672" s="182"/>
      <c r="TP672" s="15" t="s">
        <v>1552</v>
      </c>
      <c r="TR672" s="205">
        <f>SUM(TR599:TR669)</f>
        <v>6631.8999999999987</v>
      </c>
      <c r="TT672" s="275"/>
      <c r="TU672" s="182"/>
      <c r="TY672" s="15" t="s">
        <v>1552</v>
      </c>
      <c r="UA672" s="205">
        <f>SUM(UA599:UA669)</f>
        <v>7069.7999999999993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6547.949999999998</v>
      </c>
      <c r="UU672" s="275"/>
      <c r="UV672" s="182"/>
      <c r="UZ672" s="15" t="s">
        <v>1552</v>
      </c>
      <c r="VB672" s="205">
        <f>SUM(VB599:VB669)</f>
        <v>6244.2999999999993</v>
      </c>
      <c r="VD672" s="275"/>
      <c r="VE672" s="182"/>
      <c r="VI672" s="15" t="s">
        <v>1552</v>
      </c>
      <c r="VK672" s="205">
        <f>SUM(VK599:VK669)</f>
        <v>7073.4500000000016</v>
      </c>
      <c r="VM672" s="275"/>
      <c r="VN672" s="182"/>
      <c r="VR672" s="15" t="s">
        <v>1552</v>
      </c>
      <c r="VT672" s="205">
        <f>SUM(VT599:VT669)</f>
        <v>5667.7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5096.5999999999995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6996.9999999999982</v>
      </c>
      <c r="XO672" s="275"/>
      <c r="XP672" s="182"/>
      <c r="XT672" s="15" t="s">
        <v>1552</v>
      </c>
      <c r="XV672" s="205">
        <f>SUM(XV599:XV669)</f>
        <v>7559.5999999999976</v>
      </c>
      <c r="XX672" s="275"/>
      <c r="XY672" s="182"/>
      <c r="YC672" s="15" t="s">
        <v>1552</v>
      </c>
      <c r="YE672" s="205">
        <f>SUM(YE599:YE669)</f>
        <v>8309.9000000000015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8041.5</v>
      </c>
      <c r="ZH672" s="275"/>
      <c r="ZI672" s="182"/>
      <c r="ZM672" s="15" t="s">
        <v>1552</v>
      </c>
      <c r="ZO672" s="205">
        <f>SUM(ZO599:ZO669)</f>
        <v>8295.2000000000007</v>
      </c>
      <c r="ZQ672" s="275"/>
      <c r="ZR672" s="182"/>
      <c r="ZV672" s="15" t="s">
        <v>1552</v>
      </c>
      <c r="ZX672" s="205">
        <f>SUM(ZX599:ZX669)</f>
        <v>7062.5</v>
      </c>
      <c r="ZZ672" s="275"/>
      <c r="AAA672" s="182"/>
      <c r="AAE672" s="15" t="s">
        <v>1552</v>
      </c>
      <c r="AAG672" s="205">
        <f>SUM(AAG599:AAG669)</f>
        <v>5742.8</v>
      </c>
      <c r="AAI672" s="275"/>
      <c r="AAJ672" s="182"/>
      <c r="AAN672" s="15" t="s">
        <v>1552</v>
      </c>
      <c r="AAP672" s="205">
        <f>SUM(AAP599:AAP669)</f>
        <v>6542.7999999999984</v>
      </c>
      <c r="AAR672" s="275"/>
      <c r="AAS672" s="182"/>
      <c r="AAW672" s="15" t="s">
        <v>1552</v>
      </c>
      <c r="AAY672" s="205">
        <f>SUM(AAY599:AAY669)</f>
        <v>6085.0499999999993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4959.6000000000022</v>
      </c>
      <c r="ABS672" s="275"/>
      <c r="ABT672" s="182"/>
      <c r="ABX672" s="15" t="s">
        <v>1552</v>
      </c>
      <c r="ABZ672" s="205">
        <f>SUM(ABZ599:ABZ669)</f>
        <v>6366.5000000000009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6812.5000000000018</v>
      </c>
      <c r="AHG672" s="275"/>
      <c r="AHH672" s="182"/>
      <c r="AHL672" s="15" t="s">
        <v>1552</v>
      </c>
      <c r="AHN672" s="205">
        <f>SUM(AHN599:AHN669)</f>
        <v>5949.5499999999993</v>
      </c>
      <c r="AHP672" s="275"/>
      <c r="AHQ672" s="182"/>
      <c r="AHU672" s="15" t="s">
        <v>1552</v>
      </c>
      <c r="AHW672" s="205">
        <f>SUM(AHW599:AHW669)</f>
        <v>7574.0000000000009</v>
      </c>
      <c r="AHY672" s="275"/>
      <c r="AHZ672" s="182"/>
      <c r="AID672" s="15" t="s">
        <v>1552</v>
      </c>
      <c r="AIF672" s="205">
        <f>SUM(AIF599:AIF669)</f>
        <v>5939.6999999999989</v>
      </c>
      <c r="AIH672" s="275"/>
      <c r="AII672" s="182"/>
      <c r="AIM672" s="15" t="s">
        <v>1552</v>
      </c>
      <c r="AIO672" s="205">
        <f>SUM(AIO599:AIO669)</f>
        <v>6743.5500000000011</v>
      </c>
      <c r="AIQ672" s="275"/>
      <c r="AIR672" s="182"/>
      <c r="AIV672" s="15" t="s">
        <v>1552</v>
      </c>
      <c r="AIX672" s="205">
        <f>SUM(AIX599:AIX669)</f>
        <v>7848.550000000002</v>
      </c>
      <c r="AIZ672" s="275"/>
      <c r="AJA672" s="182"/>
      <c r="AJE672" s="15" t="s">
        <v>1552</v>
      </c>
      <c r="AJG672" s="205">
        <f>SUM(AJG599:AJG669)</f>
        <v>7036.2999999999993</v>
      </c>
      <c r="AJI672" s="275"/>
      <c r="AJJ672" s="182"/>
      <c r="AJN672" s="15" t="s">
        <v>1552</v>
      </c>
      <c r="AJP672" s="205">
        <f>SUM(AJP599:AJP669)</f>
        <v>7902.4500000000016</v>
      </c>
      <c r="AJR672" s="275"/>
      <c r="AJS672" s="182"/>
      <c r="AJW672" s="15" t="s">
        <v>1552</v>
      </c>
      <c r="AJY672" s="205">
        <f>SUM(AJY599:AJY669)</f>
        <v>7174.300000000002</v>
      </c>
      <c r="AKA672" s="275"/>
      <c r="AKB672" s="182"/>
      <c r="AKF672" s="15" t="s">
        <v>1552</v>
      </c>
      <c r="AKH672" s="205">
        <f>SUM(AKH599:AKH669)</f>
        <v>8030.4999999999991</v>
      </c>
      <c r="AKJ672" s="275"/>
      <c r="AKK672" s="182"/>
      <c r="AKO672" s="15" t="s">
        <v>1552</v>
      </c>
      <c r="AKQ672" s="205">
        <f>SUM(AKQ599:AKQ669)</f>
        <v>8313.6999999999989</v>
      </c>
      <c r="AKS672" s="275"/>
      <c r="AKT672" s="182"/>
      <c r="AKX672" s="15" t="s">
        <v>1552</v>
      </c>
      <c r="AKZ672" s="205">
        <f>SUM(AKZ599:AKZ669)</f>
        <v>5991.1000000000031</v>
      </c>
      <c r="ALB672" s="275"/>
      <c r="ALC672" s="182"/>
      <c r="ALG672" s="15" t="s">
        <v>1552</v>
      </c>
      <c r="ALI672" s="205">
        <f>SUM(ALI599:ALI669)</f>
        <v>7029.699999999998</v>
      </c>
      <c r="ALK672" s="275"/>
      <c r="ALL672" s="182"/>
      <c r="ALP672" s="15" t="s">
        <v>1552</v>
      </c>
      <c r="ALR672" s="205">
        <f>SUM(ALR599:ALR669)</f>
        <v>6717.9</v>
      </c>
      <c r="ALT672" s="275"/>
      <c r="ALU672" s="182"/>
      <c r="ALY672" s="15" t="s">
        <v>1552</v>
      </c>
      <c r="AMA672" s="205">
        <f>SUM(AMA599:AMA669)</f>
        <v>7199.35</v>
      </c>
      <c r="AMC672" s="275"/>
      <c r="AMD672" s="182"/>
      <c r="AMH672" s="15" t="s">
        <v>1552</v>
      </c>
      <c r="AMJ672" s="205">
        <f>SUM(AMJ599:AMJ669)</f>
        <v>7118.2999999999984</v>
      </c>
      <c r="AML672" s="275"/>
      <c r="AMM672" s="182"/>
      <c r="AMQ672" s="15" t="s">
        <v>1552</v>
      </c>
      <c r="AMS672" s="205">
        <f>SUM(AMS599:AMS669)</f>
        <v>7431.4000000000005</v>
      </c>
      <c r="AMU672" s="275"/>
      <c r="AMV672" s="182"/>
      <c r="AMZ672" s="15" t="s">
        <v>1552</v>
      </c>
      <c r="ANB672" s="205">
        <f>SUM(ANB599:ANB669)</f>
        <v>8382.4</v>
      </c>
      <c r="AND672" s="275"/>
      <c r="ANE672" s="182"/>
      <c r="ANI672" s="15" t="s">
        <v>1552</v>
      </c>
      <c r="ANK672" s="205">
        <f>SUM(ANK599:ANK669)</f>
        <v>7736.35</v>
      </c>
      <c r="ANM672" s="275"/>
      <c r="ANN672" s="182"/>
      <c r="ANR672" s="15" t="s">
        <v>1552</v>
      </c>
      <c r="ANT672" s="205">
        <f>SUM(ANT599:ANT669)</f>
        <v>7882.4000000000005</v>
      </c>
      <c r="ANV672" s="275"/>
      <c r="ANW672" s="182"/>
      <c r="AOA672" s="15" t="s">
        <v>1552</v>
      </c>
      <c r="AOC672" s="205">
        <f>SUM(AOC599:AOC669)</f>
        <v>7227.2</v>
      </c>
      <c r="AOE672" s="275"/>
      <c r="AOF672" s="182"/>
      <c r="AOJ672" s="15" t="s">
        <v>1552</v>
      </c>
      <c r="AOL672" s="205">
        <f>SUM(AOL599:AOL669)</f>
        <v>8552.5000000000036</v>
      </c>
      <c r="AON672" s="275"/>
      <c r="AOO672" s="182"/>
      <c r="AOS672" s="15" t="s">
        <v>1552</v>
      </c>
      <c r="AOU672" s="205">
        <f>SUM(AOU599:AOU669)</f>
        <v>8482.1</v>
      </c>
      <c r="AOW672" s="275"/>
      <c r="AOX672" s="182"/>
      <c r="APB672" s="15" t="s">
        <v>1552</v>
      </c>
      <c r="APD672" s="205">
        <f>SUM(APD599:APD669)</f>
        <v>7757.8999999999987</v>
      </c>
      <c r="APF672" s="275"/>
      <c r="APG672" s="182"/>
      <c r="APK672" s="15" t="s">
        <v>1552</v>
      </c>
      <c r="APM672" s="205">
        <f>SUM(APM599:APM669)</f>
        <v>7313.8</v>
      </c>
      <c r="APO672" s="275"/>
      <c r="APP672" s="182"/>
      <c r="APT672" s="15" t="s">
        <v>1552</v>
      </c>
      <c r="APV672" s="205">
        <f>SUM(APV599:APV669)</f>
        <v>7616.2500000000027</v>
      </c>
      <c r="APX672" s="275"/>
      <c r="APY672" s="182"/>
      <c r="AQC672" s="15" t="s">
        <v>1552</v>
      </c>
      <c r="AQE672" s="205">
        <f>SUM(AQE599:AQE669)</f>
        <v>7998.8499999999995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2005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2651</v>
      </c>
      <c r="B681" s="28"/>
      <c r="C681" s="276"/>
      <c r="D681" s="419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58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0"/>
        <v>12</v>
      </c>
      <c r="F682" s="285">
        <f t="shared" si="1"/>
        <v>14</v>
      </c>
      <c r="H682" s="50">
        <v>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0"/>
        <v>3</v>
      </c>
      <c r="F683" s="285">
        <f t="shared" si="1"/>
        <v>0</v>
      </c>
      <c r="H683" s="458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0"/>
        <v>22</v>
      </c>
      <c r="F684" s="285">
        <f t="shared" si="1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2780</v>
      </c>
      <c r="B685" s="28"/>
      <c r="C685" s="276"/>
      <c r="D685" s="419" t="s">
        <v>129</v>
      </c>
      <c r="E685" s="50">
        <f t="shared" si="0"/>
        <v>2</v>
      </c>
      <c r="F685" s="285">
        <f t="shared" si="1"/>
        <v>0</v>
      </c>
      <c r="H685" s="45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2068</v>
      </c>
      <c r="B686" s="418"/>
      <c r="C686" s="418"/>
      <c r="D686" s="1" t="s">
        <v>131</v>
      </c>
      <c r="E686" s="50">
        <f t="shared" si="0"/>
        <v>1</v>
      </c>
      <c r="F686" s="285">
        <f t="shared" si="1"/>
        <v>31</v>
      </c>
      <c r="H686" s="458">
        <v>1</v>
      </c>
      <c r="I686" s="50">
        <v>20</v>
      </c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2714</v>
      </c>
      <c r="B687" s="28"/>
      <c r="C687" s="276"/>
      <c r="D687" s="419" t="s">
        <v>129</v>
      </c>
      <c r="E687" s="50">
        <f t="shared" si="0"/>
        <v>6</v>
      </c>
      <c r="F687" s="285">
        <f t="shared" si="1"/>
        <v>0</v>
      </c>
      <c r="H687" s="458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0"/>
        <v>9</v>
      </c>
      <c r="F688" s="285">
        <f t="shared" si="1"/>
        <v>0</v>
      </c>
      <c r="H688" s="458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2823</v>
      </c>
      <c r="B689" s="421"/>
      <c r="C689" s="421"/>
      <c r="D689" s="419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0"/>
        <v>93</v>
      </c>
      <c r="F690" s="285">
        <f t="shared" si="1"/>
        <v>96</v>
      </c>
      <c r="H690" s="458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2526</v>
      </c>
      <c r="B691" s="28"/>
      <c r="C691" s="276"/>
      <c r="D691" s="419" t="s">
        <v>129</v>
      </c>
      <c r="E691" s="50">
        <f t="shared" si="0"/>
        <v>1</v>
      </c>
      <c r="F691" s="285">
        <f t="shared" si="1"/>
        <v>0</v>
      </c>
      <c r="H691" s="458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0"/>
        <v>8</v>
      </c>
      <c r="F692" s="285">
        <f t="shared" si="1"/>
        <v>0</v>
      </c>
      <c r="H692" s="45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0"/>
        <v>29</v>
      </c>
      <c r="F695" s="285">
        <f t="shared" si="1"/>
        <v>259</v>
      </c>
      <c r="H695" s="458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0"/>
        <v>6</v>
      </c>
      <c r="F696" s="285">
        <f t="shared" si="1"/>
        <v>0</v>
      </c>
      <c r="H696" s="458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2577</v>
      </c>
      <c r="B697" s="28"/>
      <c r="C697" s="276"/>
      <c r="D697" s="419" t="s">
        <v>129</v>
      </c>
      <c r="E697" s="50">
        <f t="shared" si="0"/>
        <v>1</v>
      </c>
      <c r="F697" s="285">
        <f t="shared" si="1"/>
        <v>20</v>
      </c>
      <c r="H697" s="458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2079</v>
      </c>
      <c r="B699" s="421"/>
      <c r="C699" s="421"/>
      <c r="D699" s="419" t="s">
        <v>132</v>
      </c>
      <c r="E699" s="50">
        <f t="shared" si="0"/>
        <v>4</v>
      </c>
      <c r="F699" s="285">
        <f t="shared" si="1"/>
        <v>0</v>
      </c>
      <c r="H699" s="45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0"/>
        <v>0</v>
      </c>
      <c r="F700" s="285">
        <f t="shared" si="1"/>
        <v>2</v>
      </c>
      <c r="H700" s="458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2752</v>
      </c>
      <c r="B702" s="28"/>
      <c r="C702" s="276"/>
      <c r="D702" s="419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2619</v>
      </c>
      <c r="B703" s="28"/>
      <c r="C703" s="276"/>
      <c r="D703" s="419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2829</v>
      </c>
      <c r="B704" s="28"/>
      <c r="C704" s="276"/>
      <c r="D704" s="419" t="s">
        <v>129</v>
      </c>
      <c r="E704" s="50">
        <f t="shared" si="0"/>
        <v>0</v>
      </c>
      <c r="F704" s="285">
        <f t="shared" si="1"/>
        <v>0</v>
      </c>
      <c r="H704" s="458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0"/>
        <v>10</v>
      </c>
      <c r="F705" s="285">
        <f t="shared" si="1"/>
        <v>48</v>
      </c>
      <c r="H705" s="458">
        <v>15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3131</v>
      </c>
      <c r="B706" s="28"/>
      <c r="C706" s="276"/>
      <c r="D706" s="419" t="s">
        <v>129</v>
      </c>
      <c r="E706" s="50">
        <f t="shared" si="0"/>
        <v>0</v>
      </c>
      <c r="F706" s="285">
        <f t="shared" si="1"/>
        <v>0</v>
      </c>
      <c r="H706" s="458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2693</v>
      </c>
      <c r="B707" s="28"/>
      <c r="C707" s="421"/>
      <c r="D707" s="419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0"/>
        <v>22</v>
      </c>
      <c r="F708" s="285">
        <f t="shared" si="1"/>
        <v>29</v>
      </c>
      <c r="H708" s="458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0"/>
        <v>13</v>
      </c>
      <c r="F712" s="285">
        <f t="shared" si="1"/>
        <v>33</v>
      </c>
      <c r="H712" s="458">
        <v>33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2520</v>
      </c>
      <c r="B713" s="421"/>
      <c r="C713" s="421"/>
      <c r="D713" s="419" t="s">
        <v>132</v>
      </c>
      <c r="E713" s="50">
        <f t="shared" si="0"/>
        <v>7</v>
      </c>
      <c r="F713" s="285">
        <f t="shared" si="1"/>
        <v>0</v>
      </c>
      <c r="H713" s="458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0"/>
        <v>47</v>
      </c>
      <c r="F714" s="285">
        <f t="shared" si="1"/>
        <v>62</v>
      </c>
      <c r="H714" s="458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2554</v>
      </c>
      <c r="B715" s="421"/>
      <c r="C715" s="421"/>
      <c r="D715" s="419" t="s">
        <v>130</v>
      </c>
      <c r="E715" s="50">
        <f t="shared" si="0"/>
        <v>10</v>
      </c>
      <c r="F715" s="285">
        <f t="shared" si="1"/>
        <v>22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2072</v>
      </c>
      <c r="B717" s="280"/>
      <c r="C717" s="418"/>
      <c r="D717" s="419" t="s">
        <v>139</v>
      </c>
      <c r="E717" s="50">
        <f t="shared" si="0"/>
        <v>64</v>
      </c>
      <c r="F717" s="285">
        <f t="shared" si="1"/>
        <v>0</v>
      </c>
      <c r="H717" s="458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2732</v>
      </c>
      <c r="B718" s="421"/>
      <c r="C718" s="421"/>
      <c r="D718" s="419" t="s">
        <v>130</v>
      </c>
      <c r="E718" s="50">
        <f t="shared" si="0"/>
        <v>4</v>
      </c>
      <c r="F718" s="285">
        <f t="shared" si="1"/>
        <v>3</v>
      </c>
      <c r="H718" s="458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0"/>
        <v>0</v>
      </c>
      <c r="F719" s="285">
        <f t="shared" si="1"/>
        <v>3</v>
      </c>
      <c r="H719" s="458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0"/>
        <v>1</v>
      </c>
      <c r="F720" s="285">
        <f t="shared" si="1"/>
        <v>3</v>
      </c>
      <c r="H720" s="458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0"/>
        <v>15</v>
      </c>
      <c r="F721" s="285">
        <f t="shared" si="1"/>
        <v>34</v>
      </c>
      <c r="H721" s="458">
        <v>3</v>
      </c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2875</v>
      </c>
      <c r="B723" s="28"/>
      <c r="C723" s="276"/>
      <c r="D723" s="419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0"/>
        <v>27</v>
      </c>
      <c r="F724" s="285">
        <f t="shared" si="1"/>
        <v>162</v>
      </c>
      <c r="H724" s="458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2859</v>
      </c>
      <c r="B725" s="28"/>
      <c r="C725" s="421"/>
      <c r="D725" s="419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2101</v>
      </c>
      <c r="B726" s="418"/>
      <c r="C726" s="418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2110</v>
      </c>
      <c r="B727" s="28"/>
      <c r="C727" s="276"/>
      <c r="D727" s="419" t="s">
        <v>129</v>
      </c>
      <c r="E727" s="50">
        <f t="shared" si="0"/>
        <v>1</v>
      </c>
      <c r="F727" s="285">
        <f t="shared" si="1"/>
        <v>0</v>
      </c>
      <c r="H727" s="458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0"/>
        <v>0</v>
      </c>
      <c r="F728" s="285">
        <f t="shared" si="1"/>
        <v>0</v>
      </c>
      <c r="H728" s="458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0"/>
        <v>10</v>
      </c>
      <c r="F729" s="285">
        <f t="shared" si="1"/>
        <v>11</v>
      </c>
      <c r="H729" s="458"/>
      <c r="J729" s="50">
        <v>11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0"/>
        <v>5</v>
      </c>
      <c r="F731" s="285">
        <f t="shared" si="1"/>
        <v>5</v>
      </c>
      <c r="H731" s="458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0"/>
        <v>19</v>
      </c>
      <c r="F732" s="285">
        <f t="shared" si="1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0"/>
        <v>8</v>
      </c>
      <c r="F733" s="285">
        <f t="shared" si="1"/>
        <v>11</v>
      </c>
      <c r="H733" s="458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2074</v>
      </c>
      <c r="B734" s="28"/>
      <c r="C734" s="421"/>
      <c r="D734" s="419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2316</v>
      </c>
      <c r="B735" s="276"/>
      <c r="C735" s="276"/>
      <c r="D735" s="419" t="s">
        <v>130</v>
      </c>
      <c r="E735" s="50">
        <f t="shared" si="0"/>
        <v>2</v>
      </c>
      <c r="F735" s="285">
        <f t="shared" si="1"/>
        <v>14</v>
      </c>
      <c r="J735" s="50">
        <v>14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2335</v>
      </c>
      <c r="B736" s="421"/>
      <c r="C736" s="421"/>
      <c r="D736" s="419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2685</v>
      </c>
      <c r="B737" s="28"/>
      <c r="C737" s="276"/>
      <c r="D737" s="419" t="s">
        <v>129</v>
      </c>
      <c r="E737" s="50">
        <f t="shared" si="0"/>
        <v>0</v>
      </c>
      <c r="F737" s="285">
        <f t="shared" si="1"/>
        <v>0</v>
      </c>
      <c r="H737" s="458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2641</v>
      </c>
      <c r="B738" s="28"/>
      <c r="C738" s="276"/>
      <c r="D738" s="419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0"/>
        <v>6</v>
      </c>
      <c r="F739" s="285">
        <f t="shared" si="1"/>
        <v>0</v>
      </c>
      <c r="H739" s="458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0"/>
        <v>0</v>
      </c>
      <c r="F740" s="285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2575</v>
      </c>
      <c r="B742" s="28"/>
      <c r="C742" s="421"/>
      <c r="D742" s="419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0"/>
        <v>10</v>
      </c>
      <c r="F744" s="285">
        <f t="shared" si="1"/>
        <v>6</v>
      </c>
      <c r="H744" s="458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2"/>
        <v>32</v>
      </c>
      <c r="F746" s="285">
        <f t="shared" si="3"/>
        <v>7</v>
      </c>
      <c r="H746" s="458"/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2"/>
        <v>10</v>
      </c>
      <c r="F747" s="285">
        <f t="shared" si="3"/>
        <v>0</v>
      </c>
      <c r="H747" s="458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3112</v>
      </c>
      <c r="B748" s="28"/>
      <c r="C748" s="421"/>
      <c r="D748" s="419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2"/>
        <v>0</v>
      </c>
      <c r="F751" s="285">
        <f t="shared" si="3"/>
        <v>0</v>
      </c>
      <c r="H751" s="458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2"/>
        <v>15</v>
      </c>
      <c r="F752" s="285">
        <f t="shared" si="3"/>
        <v>167</v>
      </c>
      <c r="H752" s="50">
        <v>127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2663</v>
      </c>
      <c r="B753" s="28"/>
      <c r="C753" s="421"/>
      <c r="D753" s="419" t="s">
        <v>129</v>
      </c>
      <c r="E753" s="50">
        <f t="shared" si="2"/>
        <v>0</v>
      </c>
      <c r="F753" s="285">
        <f t="shared" si="3"/>
        <v>8</v>
      </c>
      <c r="H753" s="458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2"/>
        <v>0</v>
      </c>
      <c r="F754" s="285">
        <f t="shared" si="3"/>
        <v>1</v>
      </c>
      <c r="H754" s="458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2"/>
        <v>0</v>
      </c>
      <c r="F755" s="285">
        <f t="shared" si="3"/>
        <v>0</v>
      </c>
      <c r="H755" s="458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2078</v>
      </c>
      <c r="B756" s="418"/>
      <c r="C756" s="418"/>
      <c r="D756" s="1" t="s">
        <v>131</v>
      </c>
      <c r="E756" s="50">
        <f t="shared" si="2"/>
        <v>4</v>
      </c>
      <c r="F756" s="285">
        <f t="shared" si="3"/>
        <v>33</v>
      </c>
      <c r="H756" s="458">
        <v>33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2330</v>
      </c>
      <c r="B758" s="28"/>
      <c r="C758" s="276"/>
      <c r="D758" s="419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2"/>
        <v>15</v>
      </c>
      <c r="F759" s="285">
        <f t="shared" si="3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3137</v>
      </c>
      <c r="B760" s="28"/>
      <c r="C760" s="276"/>
      <c r="D760" s="419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2"/>
        <v>1</v>
      </c>
      <c r="F761" s="285">
        <f t="shared" si="3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2"/>
        <v>4</v>
      </c>
      <c r="F762" s="285">
        <f t="shared" si="3"/>
        <v>0</v>
      </c>
      <c r="H762" s="458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2"/>
        <v>3</v>
      </c>
      <c r="F763" s="285">
        <f t="shared" si="3"/>
        <v>41</v>
      </c>
      <c r="H763" s="458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2"/>
        <v>0</v>
      </c>
      <c r="F764" s="285">
        <f t="shared" si="3"/>
        <v>0</v>
      </c>
      <c r="H764" s="458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2"/>
        <v>18</v>
      </c>
      <c r="F766" s="285">
        <f t="shared" si="3"/>
        <v>15</v>
      </c>
      <c r="H766" s="458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2682</v>
      </c>
      <c r="B767" s="28"/>
      <c r="C767" s="276"/>
      <c r="D767" s="419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2"/>
        <v>4</v>
      </c>
      <c r="F768" s="285">
        <f t="shared" si="3"/>
        <v>3</v>
      </c>
      <c r="H768" s="50">
        <v>2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2"/>
        <v>7</v>
      </c>
      <c r="F769" s="285">
        <f t="shared" si="3"/>
        <v>93</v>
      </c>
      <c r="H769" s="458">
        <v>73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2546</v>
      </c>
      <c r="B771" s="28"/>
      <c r="C771" s="276"/>
      <c r="D771" s="419" t="s">
        <v>129</v>
      </c>
      <c r="E771" s="50">
        <f t="shared" si="2"/>
        <v>0</v>
      </c>
      <c r="F771" s="285">
        <f t="shared" si="3"/>
        <v>0</v>
      </c>
      <c r="H771" s="458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2668</v>
      </c>
      <c r="B772" s="28"/>
      <c r="C772" s="276"/>
      <c r="D772" s="419" t="s">
        <v>129</v>
      </c>
      <c r="E772" s="50">
        <f t="shared" si="2"/>
        <v>0</v>
      </c>
      <c r="F772" s="285">
        <f t="shared" si="3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2"/>
        <v>9</v>
      </c>
      <c r="F773" s="285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2"/>
        <v>9</v>
      </c>
      <c r="F774" s="285">
        <f t="shared" si="3"/>
        <v>0</v>
      </c>
      <c r="H774" s="458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2109</v>
      </c>
      <c r="B775" s="28"/>
      <c r="C775" s="421"/>
      <c r="D775" s="419" t="s">
        <v>129</v>
      </c>
      <c r="E775" s="50">
        <f t="shared" si="2"/>
        <v>0</v>
      </c>
      <c r="F775" s="285">
        <f t="shared" si="3"/>
        <v>0</v>
      </c>
      <c r="H775" s="458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2082</v>
      </c>
      <c r="B777" s="28"/>
      <c r="C777" s="276"/>
      <c r="D777" s="419" t="s">
        <v>129</v>
      </c>
      <c r="E777" s="50">
        <f t="shared" si="2"/>
        <v>0</v>
      </c>
      <c r="F777" s="285">
        <f t="shared" si="3"/>
        <v>0</v>
      </c>
      <c r="H777" s="458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2"/>
        <v>1</v>
      </c>
      <c r="F778" s="285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2827</v>
      </c>
      <c r="B780" s="28"/>
      <c r="C780" s="276"/>
      <c r="D780" s="419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2"/>
        <v>16</v>
      </c>
      <c r="F782" s="285">
        <f t="shared" si="3"/>
        <v>0</v>
      </c>
      <c r="H782" s="458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2563</v>
      </c>
      <c r="B783" s="28"/>
      <c r="C783" s="421"/>
      <c r="D783" s="419" t="s">
        <v>129</v>
      </c>
      <c r="E783" s="50">
        <f t="shared" si="2"/>
        <v>0</v>
      </c>
      <c r="F783" s="285">
        <f t="shared" si="3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2572</v>
      </c>
      <c r="B784" s="28"/>
      <c r="C784" s="276"/>
      <c r="D784" s="419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2111</v>
      </c>
      <c r="B785" s="28"/>
      <c r="C785" s="276"/>
      <c r="D785" s="419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2"/>
        <v>0</v>
      </c>
      <c r="F786" s="285">
        <f t="shared" si="3"/>
        <v>0</v>
      </c>
      <c r="H786" s="458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2112</v>
      </c>
      <c r="B789" s="421"/>
      <c r="C789" s="421"/>
      <c r="D789" s="419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2"/>
        <v>10</v>
      </c>
      <c r="F790" s="285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2565</v>
      </c>
      <c r="B792" s="28"/>
      <c r="C792" s="276"/>
      <c r="D792" s="419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2"/>
        <v>5</v>
      </c>
      <c r="F793" s="285">
        <f t="shared" si="3"/>
        <v>1</v>
      </c>
      <c r="J793" s="50">
        <v>1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2795</v>
      </c>
      <c r="B794" s="28"/>
      <c r="C794" s="276"/>
      <c r="D794" s="419" t="s">
        <v>129</v>
      </c>
      <c r="E794" s="50">
        <f t="shared" si="2"/>
        <v>0</v>
      </c>
      <c r="F794" s="285">
        <f t="shared" si="3"/>
        <v>0</v>
      </c>
      <c r="H794" s="458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2821</v>
      </c>
      <c r="B795" s="28"/>
      <c r="C795" s="276"/>
      <c r="D795" s="419" t="s">
        <v>129</v>
      </c>
      <c r="E795" s="50">
        <f t="shared" si="2"/>
        <v>0</v>
      </c>
      <c r="F795" s="285">
        <f t="shared" si="3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2088</v>
      </c>
      <c r="B796" s="421"/>
      <c r="C796" s="421"/>
      <c r="D796" s="419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2796</v>
      </c>
      <c r="B797" s="28"/>
      <c r="C797" s="276"/>
      <c r="D797" s="419" t="s">
        <v>129</v>
      </c>
      <c r="E797" s="50">
        <f t="shared" si="2"/>
        <v>0</v>
      </c>
      <c r="F797" s="285">
        <f t="shared" si="3"/>
        <v>0</v>
      </c>
      <c r="H797" s="458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2659</v>
      </c>
      <c r="B798" s="28"/>
      <c r="C798" s="421"/>
      <c r="D798" s="419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2"/>
        <v>31</v>
      </c>
      <c r="F800" s="285">
        <f t="shared" si="3"/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2322</v>
      </c>
      <c r="B801" s="421"/>
      <c r="C801" s="421"/>
      <c r="D801" s="419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2090</v>
      </c>
      <c r="B802" s="28"/>
      <c r="C802" s="276"/>
      <c r="D802" s="419" t="s">
        <v>129</v>
      </c>
      <c r="E802" s="50">
        <f t="shared" si="2"/>
        <v>0</v>
      </c>
      <c r="F802" s="285">
        <f t="shared" si="3"/>
        <v>0</v>
      </c>
      <c r="H802" s="458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2"/>
        <v>18</v>
      </c>
      <c r="F803" s="285">
        <f t="shared" si="3"/>
        <v>63</v>
      </c>
      <c r="H803" s="458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2064</v>
      </c>
      <c r="B804" s="280"/>
      <c r="C804" s="418"/>
      <c r="D804" s="419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3133</v>
      </c>
      <c r="B805" s="28"/>
      <c r="C805" s="276"/>
      <c r="D805" s="419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2576</v>
      </c>
      <c r="B807" s="28"/>
      <c r="C807" s="276"/>
      <c r="D807" s="419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2"/>
        <v>1</v>
      </c>
      <c r="F808" s="285">
        <f t="shared" si="3"/>
        <v>56</v>
      </c>
      <c r="H808" s="458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2062</v>
      </c>
      <c r="B809" s="421"/>
      <c r="C809" s="421"/>
      <c r="D809" s="419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2782</v>
      </c>
      <c r="B811" s="28"/>
      <c r="C811" s="276"/>
      <c r="D811" s="419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4"/>
        <v>10</v>
      </c>
      <c r="F812" s="285">
        <f t="shared" si="5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2630</v>
      </c>
      <c r="B813" s="28"/>
      <c r="C813" s="276"/>
      <c r="D813" s="419" t="s">
        <v>129</v>
      </c>
      <c r="E813" s="50">
        <f t="shared" si="4"/>
        <v>3</v>
      </c>
      <c r="F813" s="285">
        <f t="shared" si="5"/>
        <v>33</v>
      </c>
      <c r="H813" s="458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4"/>
        <v>0</v>
      </c>
      <c r="F816" s="285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2744</v>
      </c>
      <c r="B817" s="28"/>
      <c r="C817" s="276"/>
      <c r="D817" s="419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4"/>
        <v>31</v>
      </c>
      <c r="F820" s="285">
        <f t="shared" si="5"/>
        <v>15</v>
      </c>
      <c r="H820" s="50">
        <v>10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4"/>
        <v>0</v>
      </c>
      <c r="F822" s="285">
        <f t="shared" si="5"/>
        <v>11</v>
      </c>
      <c r="J822" s="50">
        <v>11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2810</v>
      </c>
      <c r="B823" s="28"/>
      <c r="C823" s="276"/>
      <c r="D823" s="419" t="s">
        <v>129</v>
      </c>
      <c r="E823" s="50">
        <f t="shared" si="4"/>
        <v>0</v>
      </c>
      <c r="F823" s="285">
        <f t="shared" si="5"/>
        <v>0</v>
      </c>
      <c r="H823" s="458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1835</v>
      </c>
      <c r="B825" s="206"/>
      <c r="C825" s="421"/>
      <c r="D825" s="419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4"/>
        <v>14</v>
      </c>
      <c r="F827" s="285">
        <f t="shared" si="5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4"/>
        <v>6</v>
      </c>
      <c r="F828" s="285">
        <f t="shared" si="5"/>
        <v>34</v>
      </c>
      <c r="H828" s="50">
        <v>21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4"/>
        <v>0</v>
      </c>
      <c r="F830" s="285">
        <f t="shared" si="5"/>
        <v>0</v>
      </c>
      <c r="H830" s="458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4"/>
        <v>2</v>
      </c>
      <c r="F831" s="285">
        <f t="shared" si="5"/>
        <v>15</v>
      </c>
      <c r="H831" s="50">
        <v>15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4"/>
        <v>0</v>
      </c>
      <c r="F832" s="285">
        <f t="shared" si="5"/>
        <v>0</v>
      </c>
      <c r="H832" s="45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4"/>
        <v>14</v>
      </c>
      <c r="F834" s="285">
        <f t="shared" si="5"/>
        <v>15</v>
      </c>
      <c r="I834" s="50">
        <v>6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4"/>
        <v>10</v>
      </c>
      <c r="F835" s="285">
        <f t="shared" si="5"/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2061</v>
      </c>
      <c r="B836" s="421"/>
      <c r="C836" s="421"/>
      <c r="D836" s="419" t="s">
        <v>132</v>
      </c>
      <c r="E836" s="50">
        <f t="shared" si="4"/>
        <v>6</v>
      </c>
      <c r="F836" s="285">
        <f t="shared" si="5"/>
        <v>14</v>
      </c>
      <c r="H836" s="50">
        <v>1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4"/>
        <v>1</v>
      </c>
      <c r="F837" s="285">
        <f t="shared" si="5"/>
        <v>2</v>
      </c>
      <c r="H837" s="458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2589</v>
      </c>
      <c r="B839" s="28"/>
      <c r="C839" s="276"/>
      <c r="D839" s="419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3093</v>
      </c>
      <c r="B840" s="28"/>
      <c r="C840" s="276"/>
      <c r="D840" s="419" t="s">
        <v>129</v>
      </c>
      <c r="E840" s="50">
        <f t="shared" si="4"/>
        <v>0</v>
      </c>
      <c r="F840" s="285">
        <f t="shared" si="5"/>
        <v>4</v>
      </c>
      <c r="H840" s="458"/>
      <c r="J840" s="50">
        <v>4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2674</v>
      </c>
      <c r="B841" s="28"/>
      <c r="C841" s="276"/>
      <c r="D841" s="419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2093</v>
      </c>
      <c r="B842" s="28"/>
      <c r="C842" s="421"/>
      <c r="D842" s="419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4"/>
        <v>12</v>
      </c>
      <c r="F843" s="285">
        <f t="shared" si="5"/>
        <v>27</v>
      </c>
      <c r="H843" s="50">
        <v>7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2108</v>
      </c>
      <c r="B844" s="421"/>
      <c r="C844" s="421"/>
      <c r="D844" s="419" t="s">
        <v>135</v>
      </c>
      <c r="E844" s="50">
        <f t="shared" si="4"/>
        <v>3</v>
      </c>
      <c r="F844" s="285">
        <f t="shared" si="5"/>
        <v>21</v>
      </c>
      <c r="H844" s="458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4"/>
        <v>14</v>
      </c>
      <c r="F845" s="285">
        <f t="shared" si="5"/>
        <v>37</v>
      </c>
      <c r="H845" s="50">
        <v>32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1838</v>
      </c>
      <c r="B846" s="28"/>
      <c r="C846" s="276"/>
      <c r="D846" s="419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2696</v>
      </c>
      <c r="B847" s="421"/>
      <c r="C847" s="421"/>
      <c r="D847" s="419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2613</v>
      </c>
      <c r="B849" s="28"/>
      <c r="C849" s="276"/>
      <c r="D849" s="419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2587</v>
      </c>
      <c r="B850" s="421"/>
      <c r="C850" s="421"/>
      <c r="D850" s="419" t="s">
        <v>130</v>
      </c>
      <c r="E850" s="50">
        <f t="shared" si="4"/>
        <v>1</v>
      </c>
      <c r="F850" s="285">
        <f t="shared" si="5"/>
        <v>0</v>
      </c>
      <c r="H850" s="458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4"/>
        <v>18</v>
      </c>
      <c r="F851" s="285">
        <f t="shared" si="5"/>
        <v>275</v>
      </c>
      <c r="H851" s="50">
        <v>210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4"/>
        <v>13</v>
      </c>
      <c r="F853" s="285">
        <f t="shared" si="5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4"/>
        <v>2</v>
      </c>
      <c r="F854" s="285">
        <f t="shared" si="5"/>
        <v>0</v>
      </c>
      <c r="H854" s="458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2667</v>
      </c>
      <c r="B855" s="28"/>
      <c r="C855" s="421"/>
      <c r="D855" s="419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2113</v>
      </c>
      <c r="B856" s="28"/>
      <c r="C856" s="276"/>
      <c r="D856" s="419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2569</v>
      </c>
      <c r="B858" s="421"/>
      <c r="C858" s="421"/>
      <c r="D858" s="419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2675</v>
      </c>
      <c r="B861" s="28"/>
      <c r="C861" s="421"/>
      <c r="D861" s="419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4"/>
        <v>0</v>
      </c>
      <c r="F862" s="285">
        <f t="shared" si="5"/>
        <v>0</v>
      </c>
      <c r="H862" s="458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4"/>
        <v>13</v>
      </c>
      <c r="F863" s="285">
        <f t="shared" si="5"/>
        <v>90</v>
      </c>
      <c r="H863" s="50">
        <v>84</v>
      </c>
      <c r="J863" s="50">
        <v>6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4"/>
        <v>16</v>
      </c>
      <c r="F864" s="285">
        <f t="shared" si="5"/>
        <v>77</v>
      </c>
      <c r="H864" s="458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4"/>
        <v>13</v>
      </c>
      <c r="F865" s="285">
        <f t="shared" si="5"/>
        <v>32</v>
      </c>
      <c r="H865" s="458">
        <v>19</v>
      </c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2753</v>
      </c>
      <c r="B866" s="28"/>
      <c r="C866" s="276"/>
      <c r="D866" s="419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4"/>
        <v>17</v>
      </c>
      <c r="F867" s="285">
        <f t="shared" si="5"/>
        <v>203</v>
      </c>
      <c r="H867" s="458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2855</v>
      </c>
      <c r="B868" s="28"/>
      <c r="C868" s="276"/>
      <c r="D868" s="419" t="s">
        <v>129</v>
      </c>
      <c r="E868" s="50">
        <f t="shared" si="4"/>
        <v>0</v>
      </c>
      <c r="F868" s="285">
        <f t="shared" si="5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2114</v>
      </c>
      <c r="B869" s="206"/>
      <c r="C869" s="276"/>
      <c r="D869" s="419" t="s">
        <v>130</v>
      </c>
      <c r="E869" s="50">
        <f t="shared" si="4"/>
        <v>0</v>
      </c>
      <c r="F869" s="285">
        <f t="shared" si="5"/>
        <v>0</v>
      </c>
      <c r="H869" s="458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2333</v>
      </c>
      <c r="B870" s="28"/>
      <c r="C870" s="276"/>
      <c r="D870" s="419" t="s">
        <v>129</v>
      </c>
      <c r="E870" s="50">
        <f t="shared" si="4"/>
        <v>0</v>
      </c>
      <c r="F870" s="285">
        <f t="shared" si="5"/>
        <v>0</v>
      </c>
      <c r="H870" s="45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4"/>
        <v>8</v>
      </c>
      <c r="F871" s="285">
        <f t="shared" si="5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6"/>
        <v>0</v>
      </c>
      <c r="F875" s="285">
        <f t="shared" si="7"/>
        <v>0</v>
      </c>
      <c r="H875" s="458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2743</v>
      </c>
      <c r="B876" s="28"/>
      <c r="C876" s="276"/>
      <c r="D876" s="419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3109</v>
      </c>
      <c r="B877" s="421"/>
      <c r="C877" s="421"/>
      <c r="D877" s="419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2737</v>
      </c>
      <c r="B879" s="28"/>
      <c r="C879" s="421"/>
      <c r="D879" s="419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2673</v>
      </c>
      <c r="B880" s="28"/>
      <c r="C880" s="276"/>
      <c r="D880" s="419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2839</v>
      </c>
      <c r="B881" s="28"/>
      <c r="C881" s="276"/>
      <c r="D881" s="419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3103</v>
      </c>
      <c r="B882" s="28"/>
      <c r="C882" s="421"/>
      <c r="D882" s="419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6"/>
        <v>10</v>
      </c>
      <c r="F883" s="285">
        <f t="shared" si="7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2876</v>
      </c>
      <c r="B886" s="28"/>
      <c r="C886" s="276"/>
      <c r="D886" s="419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6"/>
        <v>9</v>
      </c>
      <c r="F889" s="285">
        <f t="shared" si="7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6"/>
        <v>6</v>
      </c>
      <c r="F890" s="285">
        <f t="shared" si="7"/>
        <v>40</v>
      </c>
      <c r="H890" s="458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6"/>
        <v>0</v>
      </c>
      <c r="F891" s="285">
        <f t="shared" si="7"/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2293</v>
      </c>
      <c r="B892" s="418"/>
      <c r="C892" s="418"/>
      <c r="D892" s="419" t="s">
        <v>133</v>
      </c>
      <c r="E892" s="50">
        <f t="shared" si="6"/>
        <v>47</v>
      </c>
      <c r="F892" s="285">
        <f t="shared" si="7"/>
        <v>257</v>
      </c>
      <c r="H892" s="50">
        <v>160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6"/>
        <v>9</v>
      </c>
      <c r="F894" s="285">
        <f t="shared" si="7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3140</v>
      </c>
      <c r="B895" s="28"/>
      <c r="C895" s="276"/>
      <c r="D895" s="419" t="s">
        <v>129</v>
      </c>
      <c r="E895" s="50">
        <f t="shared" si="6"/>
        <v>0</v>
      </c>
      <c r="F895" s="285">
        <f t="shared" si="7"/>
        <v>0</v>
      </c>
      <c r="H895" s="45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2336</v>
      </c>
      <c r="B897" s="28"/>
      <c r="C897" s="276"/>
      <c r="D897" s="419" t="s">
        <v>129</v>
      </c>
      <c r="E897" s="50">
        <f t="shared" si="6"/>
        <v>0</v>
      </c>
      <c r="F897" s="285">
        <f t="shared" si="7"/>
        <v>6</v>
      </c>
      <c r="H897" s="458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2690</v>
      </c>
      <c r="B898" s="421"/>
      <c r="C898" s="421"/>
      <c r="D898" s="419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2657</v>
      </c>
      <c r="B899" s="28"/>
      <c r="C899" s="276"/>
      <c r="D899" s="419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6"/>
        <v>1</v>
      </c>
      <c r="F900" s="285">
        <f t="shared" si="7"/>
        <v>0</v>
      </c>
      <c r="H900" s="458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6"/>
        <v>18</v>
      </c>
      <c r="F902" s="285">
        <f t="shared" si="7"/>
        <v>54</v>
      </c>
      <c r="H902" s="458">
        <v>54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2811</v>
      </c>
      <c r="B903" s="28"/>
      <c r="C903" s="276"/>
      <c r="D903" s="419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2328</v>
      </c>
      <c r="B904" s="28"/>
      <c r="C904" s="276"/>
      <c r="D904" s="419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2670</v>
      </c>
      <c r="B906" s="28"/>
      <c r="C906" s="276"/>
      <c r="D906" s="419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6"/>
        <v>17</v>
      </c>
      <c r="F907" s="285">
        <f t="shared" si="7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2717</v>
      </c>
      <c r="B910" s="28"/>
      <c r="C910" s="276"/>
      <c r="D910" s="419" t="s">
        <v>129</v>
      </c>
      <c r="E910" s="50">
        <f t="shared" si="6"/>
        <v>0</v>
      </c>
      <c r="F910" s="285">
        <f t="shared" si="7"/>
        <v>0</v>
      </c>
      <c r="H910" s="458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6"/>
        <v>10</v>
      </c>
      <c r="F912" s="285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2635</v>
      </c>
      <c r="B913" s="28"/>
      <c r="C913" s="276"/>
      <c r="D913" s="419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6"/>
        <v>1</v>
      </c>
      <c r="F914" s="285">
        <f t="shared" si="7"/>
        <v>11</v>
      </c>
      <c r="H914" s="50">
        <v>11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6"/>
        <v>0</v>
      </c>
      <c r="F915" s="285">
        <f t="shared" si="7"/>
        <v>0</v>
      </c>
      <c r="H915" s="458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2851</v>
      </c>
      <c r="B917" s="28"/>
      <c r="C917" s="276"/>
      <c r="D917" s="419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1850</v>
      </c>
      <c r="B919" s="28"/>
      <c r="C919" s="276"/>
      <c r="D919" s="419" t="s">
        <v>129</v>
      </c>
      <c r="E919" s="50">
        <f t="shared" si="6"/>
        <v>1</v>
      </c>
      <c r="F919" s="285">
        <f t="shared" si="7"/>
        <v>1</v>
      </c>
      <c r="H919" s="50">
        <v>1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2094</v>
      </c>
      <c r="B921" s="421"/>
      <c r="C921" s="421"/>
      <c r="D921" s="419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6"/>
        <v>1</v>
      </c>
      <c r="F922" s="285">
        <f t="shared" si="7"/>
        <v>16</v>
      </c>
      <c r="H922" s="458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2522</v>
      </c>
      <c r="B923" s="28"/>
      <c r="C923" s="276"/>
      <c r="D923" s="419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6"/>
        <v>0</v>
      </c>
      <c r="F924" s="285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2833</v>
      </c>
      <c r="B925" s="28"/>
      <c r="C925" s="276"/>
      <c r="D925" s="419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2521</v>
      </c>
      <c r="B926" s="421"/>
      <c r="C926" s="421"/>
      <c r="D926" s="419" t="s">
        <v>135</v>
      </c>
      <c r="E926" s="50">
        <f t="shared" si="6"/>
        <v>3</v>
      </c>
      <c r="F926" s="285">
        <f t="shared" si="7"/>
        <v>8</v>
      </c>
      <c r="H926" s="50">
        <v>8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2341</v>
      </c>
      <c r="B928" s="28"/>
      <c r="C928" s="276"/>
      <c r="D928" s="419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6"/>
        <v>4</v>
      </c>
      <c r="F929" s="285">
        <f t="shared" si="7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2115</v>
      </c>
      <c r="B931" s="28"/>
      <c r="C931" s="276"/>
      <c r="D931" s="419" t="s">
        <v>129</v>
      </c>
      <c r="E931" s="50">
        <f t="shared" si="6"/>
        <v>0</v>
      </c>
      <c r="F931" s="285">
        <f t="shared" si="7"/>
        <v>20</v>
      </c>
      <c r="J931" s="50">
        <v>20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3110</v>
      </c>
      <c r="B932" s="418"/>
      <c r="C932" s="418"/>
      <c r="D932" s="1" t="s">
        <v>131</v>
      </c>
      <c r="E932" s="50">
        <f t="shared" si="6"/>
        <v>0</v>
      </c>
      <c r="F932" s="285">
        <f t="shared" si="7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2598</v>
      </c>
      <c r="B933" s="28"/>
      <c r="C933" s="276"/>
      <c r="D933" s="419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6"/>
        <v>9</v>
      </c>
      <c r="F936" s="285">
        <f t="shared" si="7"/>
        <v>0</v>
      </c>
      <c r="H936" s="458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8">COUNTIF($A$599:$AQF$672,A937)</f>
        <v>35</v>
      </c>
      <c r="F937" s="285">
        <f t="shared" ref="F937:F1000" si="9">SUM(G937:L937)</f>
        <v>33</v>
      </c>
      <c r="H937" s="50">
        <v>18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8"/>
        <v>4</v>
      </c>
      <c r="F940" s="285">
        <f t="shared" si="9"/>
        <v>31</v>
      </c>
      <c r="I940" s="50">
        <v>29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2588</v>
      </c>
      <c r="B942" s="28"/>
      <c r="C942" s="276"/>
      <c r="D942" s="419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8"/>
        <v>91</v>
      </c>
      <c r="F944" s="285">
        <f t="shared" si="9"/>
        <v>461</v>
      </c>
      <c r="H944" s="50">
        <v>448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8"/>
        <v>65</v>
      </c>
      <c r="F945" s="285">
        <f t="shared" si="9"/>
        <v>130</v>
      </c>
      <c r="H945" s="50">
        <v>115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2713</v>
      </c>
      <c r="B950" s="421"/>
      <c r="C950" s="421"/>
      <c r="D950" s="419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2320</v>
      </c>
      <c r="B951" s="418"/>
      <c r="C951" s="418"/>
      <c r="D951" s="1" t="s">
        <v>131</v>
      </c>
      <c r="E951" s="50">
        <f t="shared" si="8"/>
        <v>2</v>
      </c>
      <c r="F951" s="285">
        <f t="shared" si="9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2605</v>
      </c>
      <c r="B953" s="28"/>
      <c r="C953" s="276"/>
      <c r="D953" s="419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3113</v>
      </c>
      <c r="B955" s="28"/>
      <c r="C955" s="276"/>
      <c r="D955" s="419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1836</v>
      </c>
      <c r="B957" s="28"/>
      <c r="C957" s="421"/>
      <c r="D957" s="419" t="s">
        <v>129</v>
      </c>
      <c r="E957" s="50">
        <f t="shared" si="8"/>
        <v>0</v>
      </c>
      <c r="F957" s="285">
        <f t="shared" si="9"/>
        <v>0</v>
      </c>
      <c r="H957" s="458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2617</v>
      </c>
      <c r="B958" s="28"/>
      <c r="C958" s="276"/>
      <c r="D958" s="419" t="s">
        <v>129</v>
      </c>
      <c r="E958" s="50">
        <f t="shared" si="8"/>
        <v>0</v>
      </c>
      <c r="F958" s="285">
        <f t="shared" si="9"/>
        <v>3</v>
      </c>
      <c r="H958" s="458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2349</v>
      </c>
      <c r="B961" s="28"/>
      <c r="C961" s="276"/>
      <c r="D961" s="419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2098</v>
      </c>
      <c r="B963" s="28"/>
      <c r="C963" s="276"/>
      <c r="D963" s="419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2678</v>
      </c>
      <c r="B965" s="28"/>
      <c r="C965" s="421"/>
      <c r="D965" s="419" t="s">
        <v>129</v>
      </c>
      <c r="E965" s="50">
        <f t="shared" si="8"/>
        <v>0</v>
      </c>
      <c r="F965" s="285">
        <f t="shared" si="9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2633</v>
      </c>
      <c r="B966" s="28"/>
      <c r="C966" s="276"/>
      <c r="D966" s="419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8"/>
        <v>1</v>
      </c>
      <c r="F967" s="285">
        <f t="shared" si="9"/>
        <v>8</v>
      </c>
      <c r="J967" s="50">
        <v>8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2075</v>
      </c>
      <c r="B968" s="421"/>
      <c r="C968" s="421"/>
      <c r="D968" s="419" t="s">
        <v>130</v>
      </c>
      <c r="E968" s="50">
        <f t="shared" si="8"/>
        <v>19</v>
      </c>
      <c r="F968" s="285">
        <f t="shared" si="9"/>
        <v>8</v>
      </c>
      <c r="H968" s="458">
        <v>3</v>
      </c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2759</v>
      </c>
      <c r="B969" s="28"/>
      <c r="C969" s="276"/>
      <c r="D969" s="419" t="s">
        <v>129</v>
      </c>
      <c r="E969" s="50">
        <f t="shared" si="8"/>
        <v>0</v>
      </c>
      <c r="F969" s="285">
        <f t="shared" si="9"/>
        <v>0</v>
      </c>
      <c r="H969" s="458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2822</v>
      </c>
      <c r="B970" s="28"/>
      <c r="C970" s="276"/>
      <c r="D970" s="419" t="s">
        <v>129</v>
      </c>
      <c r="E970" s="50">
        <f t="shared" si="8"/>
        <v>0</v>
      </c>
      <c r="F970" s="285">
        <f t="shared" si="9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2626</v>
      </c>
      <c r="B973" s="28"/>
      <c r="C973" s="276"/>
      <c r="D973" s="419" t="s">
        <v>129</v>
      </c>
      <c r="E973" s="50">
        <f t="shared" si="8"/>
        <v>0</v>
      </c>
      <c r="F973" s="285">
        <f t="shared" si="9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8"/>
        <v>28</v>
      </c>
      <c r="F975" s="285">
        <f t="shared" si="9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2646</v>
      </c>
      <c r="B976" s="28"/>
      <c r="C976" s="421"/>
      <c r="D976" s="419" t="s">
        <v>129</v>
      </c>
      <c r="E976" s="50">
        <f t="shared" si="8"/>
        <v>0</v>
      </c>
      <c r="F976" s="285">
        <f t="shared" si="9"/>
        <v>7</v>
      </c>
      <c r="H976" s="458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2840</v>
      </c>
      <c r="B978" s="28"/>
      <c r="C978" s="276"/>
      <c r="D978" s="419" t="s">
        <v>129</v>
      </c>
      <c r="E978" s="50">
        <f t="shared" si="8"/>
        <v>0</v>
      </c>
      <c r="F978" s="285">
        <f t="shared" si="9"/>
        <v>45</v>
      </c>
      <c r="H978" s="458">
        <v>45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2611</v>
      </c>
      <c r="B979" s="28"/>
      <c r="C979" s="276"/>
      <c r="D979" s="419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2666</v>
      </c>
      <c r="B980" s="28"/>
      <c r="C980" s="421"/>
      <c r="D980" s="419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8"/>
        <v>0</v>
      </c>
      <c r="F981" s="285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2573</v>
      </c>
      <c r="B982" s="421"/>
      <c r="C982" s="421"/>
      <c r="D982" s="419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2766</v>
      </c>
      <c r="B983" s="28"/>
      <c r="C983" s="421"/>
      <c r="D983" s="419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2116</v>
      </c>
      <c r="B984" s="28"/>
      <c r="C984" s="276"/>
      <c r="D984" s="419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8"/>
        <v>8</v>
      </c>
      <c r="F987" s="285">
        <f t="shared" si="9"/>
        <v>63</v>
      </c>
      <c r="H987" s="50">
        <v>34</v>
      </c>
      <c r="I987" s="50">
        <v>24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8"/>
        <v>3</v>
      </c>
      <c r="F988" s="285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2117</v>
      </c>
      <c r="B991" s="28"/>
      <c r="C991" s="421"/>
      <c r="D991" s="419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8"/>
        <v>32</v>
      </c>
      <c r="F992" s="285">
        <f t="shared" si="9"/>
        <v>240</v>
      </c>
      <c r="H992" s="50">
        <v>166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3111</v>
      </c>
      <c r="B993" s="28"/>
      <c r="C993" s="276"/>
      <c r="D993" s="419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2096</v>
      </c>
      <c r="B994" s="421"/>
      <c r="C994" s="421"/>
      <c r="D994" s="419" t="s">
        <v>132</v>
      </c>
      <c r="E994" s="50">
        <f t="shared" si="8"/>
        <v>5</v>
      </c>
      <c r="F994" s="285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8"/>
        <v>11</v>
      </c>
      <c r="F995" s="285">
        <f t="shared" si="9"/>
        <v>88</v>
      </c>
      <c r="H995" s="458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8"/>
        <v>42</v>
      </c>
      <c r="F998" s="285">
        <f t="shared" si="9"/>
        <v>219</v>
      </c>
      <c r="H998" s="50">
        <v>150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2870</v>
      </c>
      <c r="B999" s="28"/>
      <c r="C999" s="276"/>
      <c r="D999" s="419" t="s">
        <v>129</v>
      </c>
      <c r="E999" s="50">
        <f t="shared" si="8"/>
        <v>0</v>
      </c>
      <c r="F999" s="285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8"/>
        <v>16</v>
      </c>
      <c r="F1000" s="285">
        <f t="shared" si="9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2345</v>
      </c>
      <c r="B1001" s="28"/>
      <c r="C1001" s="276"/>
      <c r="D1001" s="419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2736</v>
      </c>
      <c r="B1002" s="421"/>
      <c r="C1002" s="421"/>
      <c r="D1002" s="419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2882</v>
      </c>
      <c r="B1003" s="28"/>
      <c r="C1003" s="421"/>
      <c r="D1003" s="419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0"/>
        <v>6</v>
      </c>
      <c r="F1004" s="285">
        <f t="shared" si="11"/>
        <v>11</v>
      </c>
      <c r="H1004" s="50">
        <v>1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0"/>
        <v>29</v>
      </c>
      <c r="F1005" s="285">
        <f t="shared" si="11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0"/>
        <v>4</v>
      </c>
      <c r="F1006" s="285">
        <f t="shared" si="11"/>
        <v>25</v>
      </c>
      <c r="H1006" s="50">
        <v>14</v>
      </c>
      <c r="I1006" s="50">
        <v>11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0"/>
        <v>5</v>
      </c>
      <c r="F1007" s="285">
        <f t="shared" si="11"/>
        <v>4</v>
      </c>
      <c r="H1007" s="458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3151</v>
      </c>
      <c r="B1008" s="421"/>
      <c r="C1008" s="421"/>
      <c r="D1008" s="419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2832</v>
      </c>
      <c r="B1009" s="28"/>
      <c r="C1009" s="421"/>
      <c r="D1009" s="419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0"/>
        <v>1</v>
      </c>
      <c r="F1010" s="285">
        <f t="shared" si="11"/>
        <v>35</v>
      </c>
      <c r="H1010" s="458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2118</v>
      </c>
      <c r="B1012" s="421"/>
      <c r="C1012" s="421"/>
      <c r="D1012" s="419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2864</v>
      </c>
      <c r="B1016" s="28"/>
      <c r="C1016" s="276"/>
      <c r="D1016" s="419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2119</v>
      </c>
      <c r="B1017" s="28"/>
      <c r="C1017" s="276"/>
      <c r="D1017" s="419" t="s">
        <v>129</v>
      </c>
      <c r="E1017" s="50">
        <f t="shared" si="10"/>
        <v>0</v>
      </c>
      <c r="F1017" s="285">
        <f t="shared" si="11"/>
        <v>0</v>
      </c>
      <c r="H1017" s="458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2847</v>
      </c>
      <c r="B1018" s="421"/>
      <c r="C1018" s="421"/>
      <c r="D1018" s="419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0"/>
        <v>6</v>
      </c>
      <c r="F1019" s="285">
        <f t="shared" si="11"/>
        <v>15</v>
      </c>
      <c r="H1019" s="50">
        <v>8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2120</v>
      </c>
      <c r="B1020" s="28"/>
      <c r="C1020" s="276"/>
      <c r="D1020" s="419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2677</v>
      </c>
      <c r="B1022" s="28"/>
      <c r="C1022" s="276"/>
      <c r="D1022" s="419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2340</v>
      </c>
      <c r="B1023" s="28"/>
      <c r="C1023" s="276"/>
      <c r="D1023" s="419" t="s">
        <v>129</v>
      </c>
      <c r="E1023" s="50">
        <f t="shared" si="10"/>
        <v>0</v>
      </c>
      <c r="F1023" s="285">
        <f t="shared" si="11"/>
        <v>0</v>
      </c>
      <c r="H1023" s="458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2121</v>
      </c>
      <c r="B1024" s="421"/>
      <c r="C1024" s="421"/>
      <c r="D1024" s="419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2624</v>
      </c>
      <c r="B1026" s="28"/>
      <c r="C1026" s="276"/>
      <c r="D1026" s="419" t="s">
        <v>129</v>
      </c>
      <c r="E1026" s="50">
        <f t="shared" si="10"/>
        <v>0</v>
      </c>
      <c r="F1026" s="285">
        <f t="shared" si="11"/>
        <v>0</v>
      </c>
      <c r="H1026" s="458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2837</v>
      </c>
      <c r="B1027" s="28"/>
      <c r="C1027" s="276"/>
      <c r="D1027" s="419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2812</v>
      </c>
      <c r="B1028" s="28"/>
      <c r="C1028" s="276"/>
      <c r="D1028" s="419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2066</v>
      </c>
      <c r="B1029" s="28"/>
      <c r="C1029" s="276"/>
      <c r="D1029" s="419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2122</v>
      </c>
      <c r="B1030" s="28"/>
      <c r="C1030" s="276"/>
      <c r="D1030" s="419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1848</v>
      </c>
      <c r="B1031" s="28"/>
      <c r="C1031" s="421"/>
      <c r="D1031" s="419" t="s">
        <v>129</v>
      </c>
      <c r="E1031" s="50">
        <f t="shared" si="10"/>
        <v>4</v>
      </c>
      <c r="F1031" s="285">
        <f t="shared" si="11"/>
        <v>69</v>
      </c>
      <c r="H1031" s="50">
        <v>24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2720</v>
      </c>
      <c r="B1032" s="28"/>
      <c r="C1032" s="276"/>
      <c r="D1032" s="419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2739</v>
      </c>
      <c r="B1034" s="28"/>
      <c r="C1034" s="276"/>
      <c r="D1034" s="419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2123</v>
      </c>
      <c r="B1035" s="28"/>
      <c r="C1035" s="421"/>
      <c r="D1035" s="419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2735</v>
      </c>
      <c r="B1036" s="28"/>
      <c r="C1036" s="276"/>
      <c r="D1036" s="419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2616</v>
      </c>
      <c r="B1037" s="421"/>
      <c r="C1037" s="421"/>
      <c r="D1037" s="419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0"/>
        <v>3</v>
      </c>
      <c r="F1038" s="285">
        <f t="shared" si="11"/>
        <v>43</v>
      </c>
      <c r="H1038" s="50">
        <v>40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2846</v>
      </c>
      <c r="B1039" s="28"/>
      <c r="C1039" s="276"/>
      <c r="D1039" s="419" t="s">
        <v>129</v>
      </c>
      <c r="E1039" s="50">
        <f t="shared" si="10"/>
        <v>18</v>
      </c>
      <c r="F1039" s="285">
        <f t="shared" si="11"/>
        <v>82</v>
      </c>
      <c r="H1039" s="50">
        <v>45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2561</v>
      </c>
      <c r="B1040" s="28"/>
      <c r="C1040" s="276"/>
      <c r="D1040" s="419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0"/>
        <v>43</v>
      </c>
      <c r="F1041" s="285">
        <f t="shared" si="11"/>
        <v>108</v>
      </c>
      <c r="H1041" s="50">
        <v>85</v>
      </c>
      <c r="I1041" s="50">
        <v>7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2533</v>
      </c>
      <c r="B1042" s="28"/>
      <c r="C1042" s="276"/>
      <c r="D1042" s="419" t="s">
        <v>129</v>
      </c>
      <c r="E1042" s="50">
        <f t="shared" si="10"/>
        <v>0</v>
      </c>
      <c r="F1042" s="285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2831</v>
      </c>
      <c r="B1043" s="28"/>
      <c r="C1043" s="276"/>
      <c r="D1043" s="419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0"/>
        <v>3</v>
      </c>
      <c r="F1044" s="285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0"/>
        <v>22</v>
      </c>
      <c r="F1046" s="285">
        <f t="shared" si="11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2560</v>
      </c>
      <c r="B1047" s="28"/>
      <c r="C1047" s="276"/>
      <c r="D1047" s="419" t="s">
        <v>129</v>
      </c>
      <c r="E1047" s="50">
        <f t="shared" si="10"/>
        <v>0</v>
      </c>
      <c r="F1047" s="285">
        <f t="shared" si="11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2607</v>
      </c>
      <c r="B1048" s="28"/>
      <c r="C1048" s="276"/>
      <c r="D1048" s="419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0"/>
        <v>0</v>
      </c>
      <c r="F1049" s="285">
        <f t="shared" si="11"/>
        <v>13</v>
      </c>
      <c r="J1049" s="50">
        <v>13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0"/>
        <v>6</v>
      </c>
      <c r="F1051" s="285">
        <f t="shared" si="11"/>
        <v>40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2872</v>
      </c>
      <c r="B1053" s="28"/>
      <c r="C1053" s="276"/>
      <c r="D1053" s="419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2672</v>
      </c>
      <c r="B1054" s="421"/>
      <c r="C1054" s="421"/>
      <c r="D1054" s="419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0"/>
        <v>35</v>
      </c>
      <c r="F1055" s="285">
        <f t="shared" si="11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0"/>
        <v>0</v>
      </c>
      <c r="F1056" s="285">
        <f t="shared" si="11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2584</v>
      </c>
      <c r="B1057" s="28"/>
      <c r="C1057" s="276"/>
      <c r="D1057" s="419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0"/>
        <v>5</v>
      </c>
      <c r="F1058" s="285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2721</v>
      </c>
      <c r="B1062" s="28"/>
      <c r="C1062" s="276"/>
      <c r="D1062" s="419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2527</v>
      </c>
      <c r="B1065" s="28"/>
      <c r="C1065" s="276"/>
      <c r="D1065" s="419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2"/>
        <v>59</v>
      </c>
      <c r="F1066" s="285">
        <f t="shared" si="13"/>
        <v>14</v>
      </c>
      <c r="H1066" s="50">
        <v>14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2660</v>
      </c>
      <c r="B1067" s="418"/>
      <c r="C1067" s="418"/>
      <c r="D1067" s="1" t="s">
        <v>131</v>
      </c>
      <c r="E1067" s="50">
        <f t="shared" si="12"/>
        <v>4</v>
      </c>
      <c r="F1067" s="285">
        <f t="shared" si="13"/>
        <v>74</v>
      </c>
      <c r="I1067" s="50">
        <v>40</v>
      </c>
      <c r="J1067" s="50">
        <v>34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2760</v>
      </c>
      <c r="B1069" s="28"/>
      <c r="C1069" s="276"/>
      <c r="D1069" s="419" t="s">
        <v>129</v>
      </c>
      <c r="E1069" s="50">
        <f t="shared" si="12"/>
        <v>0</v>
      </c>
      <c r="F1069" s="285">
        <f t="shared" si="13"/>
        <v>0</v>
      </c>
      <c r="H1069" s="45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2820</v>
      </c>
      <c r="B1071" s="28"/>
      <c r="C1071" s="276"/>
      <c r="D1071" s="419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2691</v>
      </c>
      <c r="B1072" s="28"/>
      <c r="C1072" s="276"/>
      <c r="D1072" s="419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2695</v>
      </c>
      <c r="B1073" s="28"/>
      <c r="C1073" s="276"/>
      <c r="D1073" s="419" t="s">
        <v>129</v>
      </c>
      <c r="E1073" s="50">
        <f t="shared" si="12"/>
        <v>0</v>
      </c>
      <c r="F1073" s="285">
        <f t="shared" si="13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2"/>
        <v>1</v>
      </c>
      <c r="F1074" s="285">
        <f t="shared" si="13"/>
        <v>0</v>
      </c>
      <c r="H1074" s="458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2"/>
        <v>8</v>
      </c>
      <c r="F1076" s="285">
        <f t="shared" si="13"/>
        <v>49</v>
      </c>
      <c r="H1076" s="50">
        <v>13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2059</v>
      </c>
      <c r="B1077" s="421"/>
      <c r="C1077" s="421"/>
      <c r="D1077" s="419" t="s">
        <v>135</v>
      </c>
      <c r="E1077" s="50">
        <f t="shared" si="12"/>
        <v>2</v>
      </c>
      <c r="F1077" s="285">
        <f t="shared" si="13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2797</v>
      </c>
      <c r="B1078" s="418"/>
      <c r="C1078" s="418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2124</v>
      </c>
      <c r="B1079" s="28"/>
      <c r="C1079" s="276"/>
      <c r="D1079" s="419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2"/>
        <v>16</v>
      </c>
      <c r="F1080" s="285">
        <f t="shared" si="13"/>
        <v>71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2"/>
        <v>21</v>
      </c>
      <c r="F1081" s="285">
        <f t="shared" si="13"/>
        <v>102</v>
      </c>
      <c r="H1081" s="50">
        <v>97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2319</v>
      </c>
      <c r="B1082" s="421"/>
      <c r="C1082" s="421"/>
      <c r="D1082" s="419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2"/>
        <v>40</v>
      </c>
      <c r="F1083" s="285">
        <f t="shared" si="13"/>
        <v>85</v>
      </c>
      <c r="H1083" s="50">
        <v>75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2842</v>
      </c>
      <c r="B1087" s="28"/>
      <c r="C1087" s="276"/>
      <c r="D1087" s="419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2321</v>
      </c>
      <c r="B1089" s="28"/>
      <c r="C1089" s="276"/>
      <c r="D1089" s="419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2"/>
        <v>6</v>
      </c>
      <c r="F1090" s="285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2102</v>
      </c>
      <c r="B1091" s="418"/>
      <c r="C1091" s="418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2726</v>
      </c>
      <c r="B1092" s="28"/>
      <c r="C1092" s="276"/>
      <c r="D1092" s="419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2634</v>
      </c>
      <c r="B1093" s="28"/>
      <c r="C1093" s="276"/>
      <c r="D1093" s="419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2"/>
        <v>2</v>
      </c>
      <c r="F1094" s="285">
        <f t="shared" si="13"/>
        <v>3</v>
      </c>
      <c r="H1094" s="458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2"/>
        <v>1</v>
      </c>
      <c r="F1095" s="285">
        <f t="shared" si="13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2655</v>
      </c>
      <c r="B1096" s="28"/>
      <c r="C1096" s="276"/>
      <c r="D1096" s="419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2754</v>
      </c>
      <c r="B1097" s="28"/>
      <c r="C1097" s="276"/>
      <c r="D1097" s="419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2125</v>
      </c>
      <c r="B1098" s="28"/>
      <c r="C1098" s="276"/>
      <c r="D1098" s="419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2866</v>
      </c>
      <c r="B1101" s="28"/>
      <c r="C1101" s="276"/>
      <c r="D1101" s="419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2649</v>
      </c>
      <c r="B1102" s="28"/>
      <c r="C1102" s="276"/>
      <c r="D1102" s="419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2126</v>
      </c>
      <c r="B1103" s="28"/>
      <c r="C1103" s="276"/>
      <c r="D1103" s="419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2"/>
        <v>11</v>
      </c>
      <c r="F1104" s="285">
        <f t="shared" si="13"/>
        <v>0</v>
      </c>
      <c r="H1104" s="458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3096</v>
      </c>
      <c r="B1105" s="28"/>
      <c r="C1105" s="276"/>
      <c r="D1105" s="419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2656</v>
      </c>
      <c r="B1106" s="28"/>
      <c r="C1106" s="276"/>
      <c r="D1106" s="419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2334</v>
      </c>
      <c r="B1107" s="28"/>
      <c r="C1107" s="276"/>
      <c r="D1107" s="419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3095</v>
      </c>
      <c r="B1108" s="28"/>
      <c r="C1108" s="276"/>
      <c r="D1108" s="419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2127</v>
      </c>
      <c r="B1109" s="28"/>
      <c r="C1109" s="276"/>
      <c r="D1109" s="419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2"/>
        <v>6</v>
      </c>
      <c r="F1111" s="285">
        <f t="shared" si="13"/>
        <v>46</v>
      </c>
      <c r="H1111" s="50">
        <v>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2"/>
        <v>0</v>
      </c>
      <c r="F1112" s="285">
        <f t="shared" si="13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2"/>
        <v>80</v>
      </c>
      <c r="F1113" s="285">
        <f t="shared" si="13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2638</v>
      </c>
      <c r="B1115" s="418"/>
      <c r="C1115" s="418"/>
      <c r="D1115" s="1" t="s">
        <v>131</v>
      </c>
      <c r="E1115" s="50">
        <f t="shared" si="12"/>
        <v>3</v>
      </c>
      <c r="F1115" s="285">
        <f t="shared" si="13"/>
        <v>0</v>
      </c>
      <c r="H1115" s="458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3127</v>
      </c>
      <c r="B1116" s="28"/>
      <c r="C1116" s="276"/>
      <c r="D1116" s="419" t="s">
        <v>129</v>
      </c>
      <c r="E1116" s="50">
        <f t="shared" si="12"/>
        <v>0</v>
      </c>
      <c r="F1116" s="285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2830</v>
      </c>
      <c r="B1117" s="28"/>
      <c r="C1117" s="276"/>
      <c r="D1117" s="419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2128</v>
      </c>
      <c r="B1118" s="28"/>
      <c r="C1118" s="276"/>
      <c r="D1118" s="419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3115</v>
      </c>
      <c r="B1119" s="28"/>
      <c r="C1119" s="276"/>
      <c r="D1119" s="419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2065</v>
      </c>
      <c r="B1120" s="206"/>
      <c r="C1120" s="276"/>
      <c r="D1120" s="419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2084</v>
      </c>
      <c r="B1121" s="418"/>
      <c r="C1121" s="418"/>
      <c r="D1121" s="419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2748</v>
      </c>
      <c r="B1123" s="28"/>
      <c r="C1123" s="276"/>
      <c r="D1123" s="419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2"/>
        <v>17</v>
      </c>
      <c r="F1124" s="285">
        <f t="shared" si="13"/>
        <v>276</v>
      </c>
      <c r="H1124" s="50">
        <v>202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2562</v>
      </c>
      <c r="B1125" s="28"/>
      <c r="C1125" s="276"/>
      <c r="D1125" s="419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2"/>
        <v>0</v>
      </c>
      <c r="F1126" s="285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2808</v>
      </c>
      <c r="B1127" s="28"/>
      <c r="C1127" s="276"/>
      <c r="D1127" s="419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2599</v>
      </c>
      <c r="B1128" s="28"/>
      <c r="C1128" s="276"/>
      <c r="D1128" s="419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2600</v>
      </c>
      <c r="B1129" s="28"/>
      <c r="C1129" s="276"/>
      <c r="D1129" s="419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2628</v>
      </c>
      <c r="B1132" s="28"/>
      <c r="C1132" s="276"/>
      <c r="D1132" s="419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4"/>
        <v>15</v>
      </c>
      <c r="F1133" s="285">
        <f t="shared" si="15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2858</v>
      </c>
      <c r="B1134" s="28"/>
      <c r="C1134" s="276"/>
      <c r="D1134" s="419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2787</v>
      </c>
      <c r="B1137" s="28"/>
      <c r="C1137" s="276"/>
      <c r="D1137" s="419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3116</v>
      </c>
      <c r="B1138" s="28"/>
      <c r="C1138" s="421"/>
      <c r="D1138" s="419" t="s">
        <v>129</v>
      </c>
      <c r="E1138" s="50">
        <f t="shared" si="14"/>
        <v>0</v>
      </c>
      <c r="F1138" s="285">
        <f t="shared" si="15"/>
        <v>0</v>
      </c>
      <c r="H1138" s="45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2844</v>
      </c>
      <c r="B1140" s="28"/>
      <c r="C1140" s="276"/>
      <c r="D1140" s="419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2629</v>
      </c>
      <c r="B1141" s="421"/>
      <c r="C1141" s="421"/>
      <c r="D1141" s="419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2683</v>
      </c>
      <c r="B1142" s="28"/>
      <c r="C1142" s="276"/>
      <c r="D1142" s="419" t="s">
        <v>129</v>
      </c>
      <c r="E1142" s="50">
        <f t="shared" si="14"/>
        <v>1</v>
      </c>
      <c r="F1142" s="285">
        <f t="shared" si="15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2758</v>
      </c>
      <c r="B1144" s="28"/>
      <c r="C1144" s="276"/>
      <c r="D1144" s="419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4"/>
        <v>7</v>
      </c>
      <c r="F1147" s="285">
        <f t="shared" si="15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2519</v>
      </c>
      <c r="B1148" s="28"/>
      <c r="C1148" s="421"/>
      <c r="D1148" s="419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2604</v>
      </c>
      <c r="B1149" s="28"/>
      <c r="C1149" s="421"/>
      <c r="D1149" s="419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2836</v>
      </c>
      <c r="B1150" s="421"/>
      <c r="C1150" s="421"/>
      <c r="D1150" s="419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4"/>
        <v>2</v>
      </c>
      <c r="F1151" s="285">
        <f t="shared" si="15"/>
        <v>8</v>
      </c>
      <c r="H1151" s="458">
        <v>3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4"/>
        <v>49</v>
      </c>
      <c r="F1153" s="285">
        <f t="shared" si="15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2715</v>
      </c>
      <c r="B1154" s="28"/>
      <c r="C1154" s="421"/>
      <c r="D1154" s="419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2749</v>
      </c>
      <c r="B1155" s="421"/>
      <c r="C1155" s="421"/>
      <c r="D1155" s="419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2545</v>
      </c>
      <c r="B1156" s="28"/>
      <c r="C1156" s="276"/>
      <c r="D1156" s="419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4"/>
        <v>26</v>
      </c>
      <c r="F1157" s="285">
        <f t="shared" si="15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2597</v>
      </c>
      <c r="B1158" s="421"/>
      <c r="C1158" s="421"/>
      <c r="D1158" s="419" t="s">
        <v>132</v>
      </c>
      <c r="E1158" s="50">
        <f t="shared" si="14"/>
        <v>1</v>
      </c>
      <c r="F1158" s="285">
        <f t="shared" si="15"/>
        <v>13</v>
      </c>
      <c r="J1158" s="50">
        <v>13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4"/>
        <v>11</v>
      </c>
      <c r="F1160" s="285">
        <f t="shared" si="15"/>
        <v>128</v>
      </c>
      <c r="H1160" s="50">
        <v>86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4"/>
        <v>2</v>
      </c>
      <c r="F1161" s="285">
        <f t="shared" si="15"/>
        <v>83</v>
      </c>
      <c r="H1161" s="50">
        <v>41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1847</v>
      </c>
      <c r="B1163" s="28"/>
      <c r="C1163" s="276"/>
      <c r="D1163" s="419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4"/>
        <v>16</v>
      </c>
      <c r="F1166" s="285">
        <f t="shared" si="15"/>
        <v>137</v>
      </c>
      <c r="H1166" s="458">
        <v>114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4"/>
        <v>21</v>
      </c>
      <c r="F1167" s="285">
        <f t="shared" si="15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3094</v>
      </c>
      <c r="B1170" s="28"/>
      <c r="C1170" s="421"/>
      <c r="D1170" s="419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2843</v>
      </c>
      <c r="B1171" s="28"/>
      <c r="C1171" s="276"/>
      <c r="D1171" s="419" t="s">
        <v>129</v>
      </c>
      <c r="E1171" s="50">
        <f t="shared" si="14"/>
        <v>0</v>
      </c>
      <c r="F1171" s="285">
        <f t="shared" si="15"/>
        <v>0</v>
      </c>
      <c r="H1171" s="458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2669</v>
      </c>
      <c r="B1172" s="28"/>
      <c r="C1172" s="276"/>
      <c r="D1172" s="419" t="s">
        <v>129</v>
      </c>
      <c r="E1172" s="50">
        <f t="shared" si="14"/>
        <v>1</v>
      </c>
      <c r="F1172" s="285">
        <f t="shared" si="15"/>
        <v>0</v>
      </c>
      <c r="H1172" s="458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4"/>
        <v>6</v>
      </c>
      <c r="F1173" s="285">
        <f t="shared" si="15"/>
        <v>27</v>
      </c>
      <c r="H1173" s="50">
        <v>2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4"/>
        <v>11</v>
      </c>
      <c r="F1174" s="285">
        <f t="shared" si="15"/>
        <v>109</v>
      </c>
      <c r="H1174" s="50">
        <v>107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2129</v>
      </c>
      <c r="B1175" s="421"/>
      <c r="C1175" s="421"/>
      <c r="D1175" s="419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4"/>
        <v>16</v>
      </c>
      <c r="F1176" s="285">
        <f t="shared" si="15"/>
        <v>197</v>
      </c>
      <c r="H1176" s="50">
        <v>129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2807</v>
      </c>
      <c r="B1177" s="421"/>
      <c r="C1177" s="421"/>
      <c r="D1177" s="419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2517</v>
      </c>
      <c r="B1178" s="28"/>
      <c r="C1178" s="421"/>
      <c r="D1178" s="419" t="s">
        <v>129</v>
      </c>
      <c r="E1178" s="50">
        <f t="shared" si="14"/>
        <v>2</v>
      </c>
      <c r="F1178" s="285">
        <f t="shared" si="15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4"/>
        <v>18</v>
      </c>
      <c r="F1179" s="285">
        <f t="shared" si="15"/>
        <v>388</v>
      </c>
      <c r="H1179" s="50">
        <v>373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4"/>
        <v>6</v>
      </c>
      <c r="F1181" s="285">
        <f t="shared" si="15"/>
        <v>45</v>
      </c>
      <c r="H1181" s="458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4"/>
        <v>2</v>
      </c>
      <c r="F1182" s="285">
        <f t="shared" si="15"/>
        <v>5</v>
      </c>
      <c r="H1182" s="458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2524</v>
      </c>
      <c r="B1183" s="280"/>
      <c r="C1183" s="418"/>
      <c r="D1183" s="419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2679</v>
      </c>
      <c r="B1184" s="421"/>
      <c r="C1184" s="421"/>
      <c r="D1184" s="419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4"/>
        <v>1</v>
      </c>
      <c r="F1185" s="285">
        <f t="shared" si="15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2852</v>
      </c>
      <c r="B1186" s="28"/>
      <c r="C1186" s="276"/>
      <c r="D1186" s="419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4"/>
        <v>0</v>
      </c>
      <c r="F1187" s="285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2809</v>
      </c>
      <c r="B1188" s="28"/>
      <c r="C1188" s="276"/>
      <c r="D1188" s="419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2612</v>
      </c>
      <c r="B1189" s="28"/>
      <c r="C1189" s="276"/>
      <c r="D1189" s="419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3114</v>
      </c>
      <c r="B1190" s="28"/>
      <c r="C1190" s="421"/>
      <c r="D1190" s="419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2849</v>
      </c>
      <c r="B1191" s="28"/>
      <c r="C1191" s="276"/>
      <c r="D1191" s="419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2077</v>
      </c>
      <c r="B1193" s="421"/>
      <c r="C1193" s="421"/>
      <c r="D1193" s="419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16"/>
        <v>9</v>
      </c>
      <c r="F1194" s="285">
        <f t="shared" si="17"/>
        <v>46</v>
      </c>
      <c r="H1194" s="50">
        <v>46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2593</v>
      </c>
      <c r="B1195" s="28"/>
      <c r="C1195" s="421"/>
      <c r="D1195" s="419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2653</v>
      </c>
      <c r="B1196" s="28"/>
      <c r="C1196" s="276"/>
      <c r="D1196" s="419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2556</v>
      </c>
      <c r="B1199" s="28"/>
      <c r="C1199" s="276"/>
      <c r="D1199" s="419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2566</v>
      </c>
      <c r="B1200" s="28"/>
      <c r="C1200" s="276"/>
      <c r="D1200" s="419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2806</v>
      </c>
      <c r="B1205" s="28"/>
      <c r="C1205" s="276"/>
      <c r="D1205" s="419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2856</v>
      </c>
      <c r="B1206" s="28"/>
      <c r="C1206" s="276"/>
      <c r="D1206" s="419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16"/>
        <v>12</v>
      </c>
      <c r="F1207" s="285">
        <f t="shared" si="17"/>
        <v>3</v>
      </c>
      <c r="H1207" s="50">
        <v>3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2783</v>
      </c>
      <c r="B1209" s="28"/>
      <c r="C1209" s="276"/>
      <c r="D1209" s="419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1837</v>
      </c>
      <c r="B1210" s="280"/>
      <c r="C1210" s="418"/>
      <c r="D1210" s="419" t="s">
        <v>134</v>
      </c>
      <c r="E1210" s="50">
        <f t="shared" si="16"/>
        <v>3</v>
      </c>
      <c r="F1210" s="285">
        <f t="shared" si="17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2861</v>
      </c>
      <c r="B1211" s="28"/>
      <c r="C1211" s="276"/>
      <c r="D1211" s="419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2709</v>
      </c>
      <c r="B1212" s="28"/>
      <c r="C1212" s="276"/>
      <c r="D1212" s="419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2326</v>
      </c>
      <c r="B1213" s="421"/>
      <c r="C1213" s="421"/>
      <c r="D1213" s="419" t="s">
        <v>130</v>
      </c>
      <c r="E1213" s="50">
        <f t="shared" si="16"/>
        <v>1</v>
      </c>
      <c r="F1213" s="285">
        <f t="shared" si="17"/>
        <v>0</v>
      </c>
      <c r="H1213" s="458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2323</v>
      </c>
      <c r="B1214" s="28"/>
      <c r="C1214" s="276"/>
      <c r="D1214" s="419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16"/>
        <v>23</v>
      </c>
      <c r="F1215" s="285">
        <f t="shared" si="17"/>
        <v>35</v>
      </c>
      <c r="H1215" s="458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16"/>
        <v>17</v>
      </c>
      <c r="F1217" s="285">
        <f t="shared" si="17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16"/>
        <v>12</v>
      </c>
      <c r="F1218" s="285">
        <f t="shared" si="17"/>
        <v>159</v>
      </c>
      <c r="H1218" s="50">
        <v>148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16"/>
        <v>0</v>
      </c>
      <c r="F1221" s="285">
        <f t="shared" si="17"/>
        <v>3</v>
      </c>
      <c r="I1221" s="50">
        <v>3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2327</v>
      </c>
      <c r="B1223" s="28"/>
      <c r="C1223" s="276"/>
      <c r="D1223" s="419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2798</v>
      </c>
      <c r="B1225" s="421"/>
      <c r="C1225" s="421"/>
      <c r="D1225" s="419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16"/>
        <v>1</v>
      </c>
      <c r="F1226" s="285">
        <f t="shared" si="17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2130</v>
      </c>
      <c r="B1227" s="28"/>
      <c r="C1227" s="276"/>
      <c r="D1227" s="419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16"/>
        <v>1</v>
      </c>
      <c r="F1228" s="285">
        <f t="shared" si="17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16"/>
        <v>4</v>
      </c>
      <c r="F1230" s="285">
        <f t="shared" si="17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2818</v>
      </c>
      <c r="B1232" s="28"/>
      <c r="C1232" s="276"/>
      <c r="D1232" s="419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2060</v>
      </c>
      <c r="B1233" s="28"/>
      <c r="C1233" s="421"/>
      <c r="D1233" s="419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2314</v>
      </c>
      <c r="B1234" s="28"/>
      <c r="C1234" s="276"/>
      <c r="D1234" s="419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2794</v>
      </c>
      <c r="B1235" s="28"/>
      <c r="C1235" s="276"/>
      <c r="D1235" s="419" t="s">
        <v>129</v>
      </c>
      <c r="E1235" s="50">
        <f t="shared" si="16"/>
        <v>0</v>
      </c>
      <c r="F1235" s="285">
        <f t="shared" si="17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16"/>
        <v>2</v>
      </c>
      <c r="F1236" s="285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16"/>
        <v>10</v>
      </c>
      <c r="F1237" s="285">
        <f t="shared" si="17"/>
        <v>42</v>
      </c>
      <c r="H1237" s="50">
        <v>30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2707</v>
      </c>
      <c r="B1239" s="28"/>
      <c r="C1239" s="276"/>
      <c r="D1239" s="419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2642</v>
      </c>
      <c r="B1241" s="421"/>
      <c r="C1241" s="421"/>
      <c r="D1241" s="419" t="s">
        <v>130</v>
      </c>
      <c r="E1241" s="50">
        <f t="shared" si="16"/>
        <v>33</v>
      </c>
      <c r="F1241" s="285">
        <f t="shared" si="17"/>
        <v>56</v>
      </c>
      <c r="H1241" s="50">
        <v>53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16"/>
        <v>11</v>
      </c>
      <c r="F1242" s="285">
        <f t="shared" si="17"/>
        <v>34</v>
      </c>
      <c r="H1242" s="50">
        <v>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16"/>
        <v>56</v>
      </c>
      <c r="F1243" s="285">
        <f t="shared" si="17"/>
        <v>89</v>
      </c>
      <c r="H1243" s="458">
        <v>58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2583</v>
      </c>
      <c r="B1246" s="421"/>
      <c r="C1246" s="421"/>
      <c r="D1246" s="419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2601</v>
      </c>
      <c r="B1247" s="28"/>
      <c r="C1247" s="276"/>
      <c r="D1247" s="419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2346</v>
      </c>
      <c r="B1248" s="421"/>
      <c r="C1248" s="421"/>
      <c r="D1248" s="419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16"/>
        <v>28</v>
      </c>
      <c r="F1249" s="285">
        <f t="shared" si="17"/>
        <v>143</v>
      </c>
      <c r="H1249" s="458">
        <v>143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2557</v>
      </c>
      <c r="B1250" s="28"/>
      <c r="C1250" s="421"/>
      <c r="D1250" s="419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2755</v>
      </c>
      <c r="B1251" s="28"/>
      <c r="C1251" s="421"/>
      <c r="D1251" s="419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2803</v>
      </c>
      <c r="B1252" s="421"/>
      <c r="C1252" s="421"/>
      <c r="D1252" s="419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16"/>
        <v>4</v>
      </c>
      <c r="F1253" s="285">
        <f t="shared" si="17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16"/>
        <v>11</v>
      </c>
      <c r="F1254" s="285">
        <f t="shared" si="17"/>
        <v>130</v>
      </c>
      <c r="H1254" s="50">
        <v>106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2813</v>
      </c>
      <c r="B1255" s="28"/>
      <c r="C1255" s="276"/>
      <c r="D1255" s="419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2786</v>
      </c>
      <c r="B1256" s="28"/>
      <c r="C1256" s="276"/>
      <c r="D1256" s="419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87</v>
      </c>
      <c r="H1257" s="50">
        <v>2</v>
      </c>
      <c r="I1257" s="50">
        <v>74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2779</v>
      </c>
      <c r="B1258" s="28"/>
      <c r="C1258" s="276"/>
      <c r="D1258" s="419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18"/>
        <v>8</v>
      </c>
      <c r="F1259" s="285">
        <f t="shared" si="19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18"/>
        <v>5</v>
      </c>
      <c r="F1260" s="285">
        <f t="shared" si="19"/>
        <v>92</v>
      </c>
      <c r="H1260" s="50">
        <v>1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18"/>
        <v>35</v>
      </c>
      <c r="F1261" s="285">
        <f t="shared" si="19"/>
        <v>167</v>
      </c>
      <c r="H1261" s="50">
        <v>116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2692</v>
      </c>
      <c r="B1262" s="28"/>
      <c r="C1262" s="276"/>
      <c r="D1262" s="419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18"/>
        <v>0</v>
      </c>
      <c r="F1263" s="285">
        <f t="shared" si="19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18"/>
        <v>4</v>
      </c>
      <c r="F1265" s="285">
        <f t="shared" si="19"/>
        <v>3</v>
      </c>
      <c r="H1265" s="458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2602</v>
      </c>
      <c r="B1266" s="28"/>
      <c r="C1266" s="421"/>
      <c r="D1266" s="419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2332</v>
      </c>
      <c r="B1267" s="28"/>
      <c r="C1267" s="276"/>
      <c r="D1267" s="419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2684</v>
      </c>
      <c r="B1268" s="421"/>
      <c r="C1268" s="421"/>
      <c r="D1268" s="419" t="s">
        <v>132</v>
      </c>
      <c r="E1268" s="50">
        <f t="shared" si="18"/>
        <v>5</v>
      </c>
      <c r="F1268" s="285">
        <f t="shared" si="19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2622</v>
      </c>
      <c r="B1269" s="28"/>
      <c r="C1269" s="276"/>
      <c r="D1269" s="419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2853</v>
      </c>
      <c r="B1271" s="28"/>
      <c r="C1271" s="276"/>
      <c r="D1271" s="419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2315</v>
      </c>
      <c r="B1273" s="28"/>
      <c r="C1273" s="276"/>
      <c r="D1273" s="419" t="s">
        <v>129</v>
      </c>
      <c r="E1273" s="50">
        <f t="shared" si="18"/>
        <v>0</v>
      </c>
      <c r="F1273" s="285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2585</v>
      </c>
      <c r="B1274" s="28"/>
      <c r="C1274" s="276"/>
      <c r="D1274" s="419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2606</v>
      </c>
      <c r="B1276" s="28"/>
      <c r="C1276" s="276"/>
      <c r="D1276" s="419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18"/>
        <v>23</v>
      </c>
      <c r="F1278" s="285">
        <f t="shared" si="19"/>
        <v>185</v>
      </c>
      <c r="H1278" s="50">
        <v>155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18"/>
        <v>5</v>
      </c>
      <c r="F1279" s="285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2131</v>
      </c>
      <c r="B1284" s="28"/>
      <c r="C1284" s="276"/>
      <c r="D1284" s="419" t="s">
        <v>129</v>
      </c>
      <c r="E1284" s="50">
        <f t="shared" si="18"/>
        <v>1</v>
      </c>
      <c r="F1284" s="285">
        <f t="shared" si="19"/>
        <v>0</v>
      </c>
      <c r="H1284" s="458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2132</v>
      </c>
      <c r="B1286" s="28"/>
      <c r="C1286" s="276"/>
      <c r="D1286" s="419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2133</v>
      </c>
      <c r="B1287" s="28"/>
      <c r="C1287" s="276"/>
      <c r="D1287" s="419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2134</v>
      </c>
      <c r="B1289" s="28"/>
      <c r="C1289" s="276"/>
      <c r="D1289" s="419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18"/>
        <v>3</v>
      </c>
      <c r="F1291" s="285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18"/>
        <v>5</v>
      </c>
      <c r="F1293" s="285">
        <f t="shared" si="19"/>
        <v>65</v>
      </c>
      <c r="H1293" s="50">
        <v>5</v>
      </c>
      <c r="I1293" s="50">
        <v>60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18"/>
        <v>10</v>
      </c>
      <c r="F1295" s="285">
        <f t="shared" si="19"/>
        <v>21</v>
      </c>
      <c r="H1295" s="50">
        <v>9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1845</v>
      </c>
      <c r="B1296" s="28"/>
      <c r="C1296" s="276"/>
      <c r="D1296" s="419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2776</v>
      </c>
      <c r="B1298" s="421"/>
      <c r="C1298" s="421"/>
      <c r="D1298" s="419" t="s">
        <v>130</v>
      </c>
      <c r="E1298" s="50">
        <f t="shared" si="18"/>
        <v>9</v>
      </c>
      <c r="F1298" s="285">
        <f t="shared" si="19"/>
        <v>0</v>
      </c>
      <c r="H1298" s="458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2741</v>
      </c>
      <c r="B1301" s="28"/>
      <c r="C1301" s="276"/>
      <c r="D1301" s="419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2805</v>
      </c>
      <c r="B1302" s="28"/>
      <c r="C1302" s="421"/>
      <c r="D1302" s="419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2689</v>
      </c>
      <c r="B1303" s="28"/>
      <c r="C1303" s="276"/>
      <c r="D1303" s="419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18"/>
        <v>3</v>
      </c>
      <c r="F1306" s="285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3117</v>
      </c>
      <c r="B1307" s="28"/>
      <c r="C1307" s="276"/>
      <c r="D1307" s="419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18"/>
        <v>8</v>
      </c>
      <c r="F1308" s="285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2742</v>
      </c>
      <c r="B1309" s="28"/>
      <c r="C1309" s="276"/>
      <c r="D1309" s="419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3090</v>
      </c>
      <c r="B1310" s="28"/>
      <c r="C1310" s="276"/>
      <c r="D1310" s="419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18"/>
        <v>2</v>
      </c>
      <c r="F1312" s="285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1840</v>
      </c>
      <c r="B1315" s="28"/>
      <c r="C1315" s="276"/>
      <c r="D1315" s="419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2135</v>
      </c>
      <c r="B1316" s="418"/>
      <c r="C1316" s="418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2136</v>
      </c>
      <c r="B1317" s="28"/>
      <c r="C1317" s="276"/>
      <c r="D1317" s="419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18"/>
        <v>14</v>
      </c>
      <c r="F1319" s="285">
        <f t="shared" si="19"/>
        <v>31</v>
      </c>
      <c r="H1319" s="50">
        <v>3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18"/>
        <v>2</v>
      </c>
      <c r="F1320" s="285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2733</v>
      </c>
      <c r="B1321" s="28"/>
      <c r="C1321" s="276"/>
      <c r="D1321" s="419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0"/>
        <v>5</v>
      </c>
      <c r="F1322" s="285">
        <f t="shared" si="21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2694</v>
      </c>
      <c r="B1323" s="418"/>
      <c r="C1323" s="418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2137</v>
      </c>
      <c r="B1324" s="28"/>
      <c r="C1324" s="276"/>
      <c r="D1324" s="419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2525</v>
      </c>
      <c r="B1325" s="28"/>
      <c r="C1325" s="276"/>
      <c r="D1325" s="419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2676</v>
      </c>
      <c r="B1327" s="28"/>
      <c r="C1327" s="276"/>
      <c r="D1327" s="419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2648</v>
      </c>
      <c r="B1328" s="28"/>
      <c r="C1328" s="421"/>
      <c r="D1328" s="419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2092</v>
      </c>
      <c r="B1329" s="421"/>
      <c r="C1329" s="421"/>
      <c r="D1329" s="419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3089</v>
      </c>
      <c r="B1330" s="28"/>
      <c r="C1330" s="276"/>
      <c r="D1330" s="419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0"/>
        <v>18</v>
      </c>
      <c r="F1332" s="285">
        <f t="shared" si="21"/>
        <v>101</v>
      </c>
      <c r="H1332" s="50">
        <v>101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2138</v>
      </c>
      <c r="B1333" s="421"/>
      <c r="C1333" s="421"/>
      <c r="D1333" s="419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3108</v>
      </c>
      <c r="B1334" s="28"/>
      <c r="C1334" s="276"/>
      <c r="D1334" s="419" t="s">
        <v>129</v>
      </c>
      <c r="E1334" s="50">
        <f t="shared" si="20"/>
        <v>0</v>
      </c>
      <c r="F1334" s="285">
        <f t="shared" si="21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2578</v>
      </c>
      <c r="B1336" s="28"/>
      <c r="C1336" s="276"/>
      <c r="D1336" s="419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0"/>
        <v>6</v>
      </c>
      <c r="F1338" s="285">
        <f t="shared" si="21"/>
        <v>47</v>
      </c>
      <c r="H1338" s="458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2826</v>
      </c>
      <c r="B1339" s="28"/>
      <c r="C1339" s="276"/>
      <c r="D1339" s="419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2788</v>
      </c>
      <c r="B1340" s="421"/>
      <c r="C1340" s="421"/>
      <c r="D1340" s="419" t="s">
        <v>132</v>
      </c>
      <c r="E1340" s="50">
        <f t="shared" si="20"/>
        <v>31</v>
      </c>
      <c r="F1340" s="285">
        <f t="shared" si="21"/>
        <v>30</v>
      </c>
      <c r="H1340" s="50">
        <v>12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3139</v>
      </c>
      <c r="B1342" s="28"/>
      <c r="C1342" s="276"/>
      <c r="D1342" s="419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2824</v>
      </c>
      <c r="B1344" s="421"/>
      <c r="C1344" s="421"/>
      <c r="D1344" s="419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2547</v>
      </c>
      <c r="B1345" s="28"/>
      <c r="C1345" s="276"/>
      <c r="D1345" s="419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2329</v>
      </c>
      <c r="B1346" s="28"/>
      <c r="C1346" s="421"/>
      <c r="D1346" s="419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0"/>
        <v>0</v>
      </c>
      <c r="F1347" s="285">
        <f t="shared" si="21"/>
        <v>0</v>
      </c>
      <c r="H1347" s="458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2860</v>
      </c>
      <c r="B1348" s="28"/>
      <c r="C1348" s="276"/>
      <c r="D1348" s="419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0"/>
        <v>4</v>
      </c>
      <c r="F1349" s="285">
        <f t="shared" si="21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0"/>
        <v>20</v>
      </c>
      <c r="F1351" s="285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2558</v>
      </c>
      <c r="B1352" s="418"/>
      <c r="C1352" s="418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2579</v>
      </c>
      <c r="B1353" s="28"/>
      <c r="C1353" s="276"/>
      <c r="D1353" s="419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0"/>
        <v>34</v>
      </c>
      <c r="F1354" s="285">
        <f t="shared" si="21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2603</v>
      </c>
      <c r="B1355" s="28"/>
      <c r="C1355" s="276"/>
      <c r="D1355" s="419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3152</v>
      </c>
      <c r="B1356" s="421"/>
      <c r="C1356" s="421"/>
      <c r="D1356" s="419" t="s">
        <v>132</v>
      </c>
      <c r="E1356" s="50">
        <f t="shared" si="20"/>
        <v>2</v>
      </c>
      <c r="F1356" s="285">
        <f t="shared" si="21"/>
        <v>0</v>
      </c>
      <c r="H1356" s="458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0"/>
        <v>3</v>
      </c>
      <c r="F1357" s="285">
        <f t="shared" si="21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3086</v>
      </c>
      <c r="B1358" s="28"/>
      <c r="C1358" s="276"/>
      <c r="D1358" s="419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2738</v>
      </c>
      <c r="B1360" s="28"/>
      <c r="C1360" s="276"/>
      <c r="D1360" s="419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2819</v>
      </c>
      <c r="B1361" s="28"/>
      <c r="C1361" s="276"/>
      <c r="D1361" s="419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0"/>
        <v>27</v>
      </c>
      <c r="F1363" s="285">
        <f t="shared" si="21"/>
        <v>342</v>
      </c>
      <c r="H1363" s="50">
        <v>334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2324</v>
      </c>
      <c r="B1365" s="28"/>
      <c r="C1365" s="276"/>
      <c r="D1365" s="419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2686</v>
      </c>
      <c r="B1367" s="28"/>
      <c r="C1367" s="276"/>
      <c r="D1367" s="419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0"/>
        <v>1</v>
      </c>
      <c r="F1368" s="285">
        <f t="shared" si="21"/>
        <v>3</v>
      </c>
      <c r="J1368" s="50">
        <v>3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2339</v>
      </c>
      <c r="B1369" s="28"/>
      <c r="C1369" s="276"/>
      <c r="D1369" s="419" t="s">
        <v>129</v>
      </c>
      <c r="E1369" s="50">
        <f t="shared" si="20"/>
        <v>3</v>
      </c>
      <c r="F1369" s="285">
        <f t="shared" si="21"/>
        <v>58</v>
      </c>
      <c r="H1369" s="50">
        <v>33</v>
      </c>
      <c r="I1369" s="50">
        <v>13</v>
      </c>
      <c r="J1369" s="50">
        <v>12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2631</v>
      </c>
      <c r="B1370" s="28"/>
      <c r="C1370" s="276"/>
      <c r="D1370" s="419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0"/>
        <v>6</v>
      </c>
      <c r="F1371" s="285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2647</v>
      </c>
      <c r="B1373" s="28"/>
      <c r="C1373" s="276"/>
      <c r="D1373" s="419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2318</v>
      </c>
      <c r="B1374" s="421"/>
      <c r="C1374" s="421"/>
      <c r="D1374" s="419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2567</v>
      </c>
      <c r="B1375" s="28"/>
      <c r="C1375" s="276"/>
      <c r="D1375" s="419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2688</v>
      </c>
      <c r="B1376" s="28"/>
      <c r="C1376" s="276"/>
      <c r="D1376" s="419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2639</v>
      </c>
      <c r="B1377" s="28"/>
      <c r="C1377" s="276"/>
      <c r="D1377" s="419" t="s">
        <v>129</v>
      </c>
      <c r="E1377" s="50">
        <f t="shared" si="20"/>
        <v>1</v>
      </c>
      <c r="F1377" s="285">
        <f t="shared" si="21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0"/>
        <v>1</v>
      </c>
      <c r="F1378" s="285">
        <f t="shared" si="21"/>
        <v>29</v>
      </c>
      <c r="H1378" s="50">
        <v>29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2555</v>
      </c>
      <c r="B1379" s="421"/>
      <c r="C1379" s="421"/>
      <c r="D1379" s="419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2718</v>
      </c>
      <c r="B1380" s="28"/>
      <c r="C1380" s="276"/>
      <c r="D1380" s="419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0"/>
        <v>48</v>
      </c>
      <c r="F1381" s="285">
        <f t="shared" si="21"/>
        <v>271</v>
      </c>
      <c r="H1381" s="50">
        <v>271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2091</v>
      </c>
      <c r="B1383" s="280"/>
      <c r="C1383" s="418"/>
      <c r="D1383" s="419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236</v>
      </c>
      <c r="H1385" s="50">
        <v>215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2850</v>
      </c>
      <c r="B1386" s="421"/>
      <c r="C1386" s="421"/>
      <c r="D1386" s="419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2"/>
        <v>8</v>
      </c>
      <c r="F1387" s="285">
        <f t="shared" si="23"/>
        <v>48</v>
      </c>
      <c r="H1387" s="50">
        <v>43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2347</v>
      </c>
      <c r="B1388" s="28"/>
      <c r="C1388" s="276"/>
      <c r="D1388" s="419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2623</v>
      </c>
      <c r="B1389" s="28"/>
      <c r="C1389" s="276"/>
      <c r="D1389" s="419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2139</v>
      </c>
      <c r="B1390" s="28"/>
      <c r="C1390" s="276"/>
      <c r="D1390" s="419" t="s">
        <v>129</v>
      </c>
      <c r="E1390" s="50">
        <f t="shared" si="22"/>
        <v>0</v>
      </c>
      <c r="F1390" s="285">
        <f t="shared" si="23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2067</v>
      </c>
      <c r="B1392" s="418"/>
      <c r="C1392" s="418"/>
      <c r="D1392" s="419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2534</v>
      </c>
      <c r="B1393" s="28"/>
      <c r="C1393" s="276"/>
      <c r="D1393" s="419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2"/>
        <v>2</v>
      </c>
      <c r="F1394" s="285">
        <f t="shared" si="23"/>
        <v>2</v>
      </c>
      <c r="J1394" s="50">
        <v>2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2"/>
        <v>12</v>
      </c>
      <c r="F1395" s="285">
        <f t="shared" si="23"/>
        <v>68</v>
      </c>
      <c r="H1395" s="50">
        <v>68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2"/>
        <v>97</v>
      </c>
      <c r="F1396" s="285">
        <f t="shared" si="23"/>
        <v>622</v>
      </c>
      <c r="H1396" s="50">
        <v>524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2"/>
        <v>8</v>
      </c>
      <c r="F1398" s="285">
        <f t="shared" si="23"/>
        <v>128</v>
      </c>
      <c r="H1398" s="50">
        <v>128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2140</v>
      </c>
      <c r="B1399" s="28"/>
      <c r="C1399" s="276"/>
      <c r="D1399" s="419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2790</v>
      </c>
      <c r="B1400" s="28"/>
      <c r="C1400" s="421"/>
      <c r="D1400" s="419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2725</v>
      </c>
      <c r="B1401" s="28"/>
      <c r="C1401" s="276"/>
      <c r="D1401" s="419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2"/>
        <v>8</v>
      </c>
      <c r="F1402" s="285">
        <f t="shared" si="23"/>
        <v>329</v>
      </c>
      <c r="H1402" s="458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2"/>
        <v>2</v>
      </c>
      <c r="F1403" s="285">
        <f t="shared" si="23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2816</v>
      </c>
      <c r="B1405" s="28"/>
      <c r="C1405" s="276"/>
      <c r="D1405" s="419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2687</v>
      </c>
      <c r="B1408" s="28"/>
      <c r="C1408" s="276"/>
      <c r="D1408" s="419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2815</v>
      </c>
      <c r="B1409" s="28"/>
      <c r="C1409" s="276"/>
      <c r="D1409" s="419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2069</v>
      </c>
      <c r="B1410" s="418"/>
      <c r="C1410" s="418"/>
      <c r="D1410" s="1" t="s">
        <v>131</v>
      </c>
      <c r="E1410" s="50">
        <f t="shared" si="22"/>
        <v>10</v>
      </c>
      <c r="F1410" s="285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2865</v>
      </c>
      <c r="B1412" s="28"/>
      <c r="C1412" s="276"/>
      <c r="D1412" s="419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2863</v>
      </c>
      <c r="B1413" s="28"/>
      <c r="C1413" s="421"/>
      <c r="D1413" s="419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2"/>
        <v>0</v>
      </c>
      <c r="F1416" s="285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2834</v>
      </c>
      <c r="B1417" s="28"/>
      <c r="C1417" s="276"/>
      <c r="D1417" s="419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2549</v>
      </c>
      <c r="C1418" s="276"/>
      <c r="D1418" s="419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2724</v>
      </c>
      <c r="B1420" s="28"/>
      <c r="C1420" s="276"/>
      <c r="D1420" s="419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2802</v>
      </c>
      <c r="B1421" s="28"/>
      <c r="C1421" s="276"/>
      <c r="D1421" s="419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2632</v>
      </c>
      <c r="B1425" s="28"/>
      <c r="C1425" s="276"/>
      <c r="D1425" s="419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1849</v>
      </c>
      <c r="B1427" s="28"/>
      <c r="C1427" s="276"/>
      <c r="D1427" s="419" t="s">
        <v>129</v>
      </c>
      <c r="E1427" s="50">
        <f t="shared" si="22"/>
        <v>0</v>
      </c>
      <c r="F1427" s="285">
        <f t="shared" si="23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2723</v>
      </c>
      <c r="B1428" s="421"/>
      <c r="C1428" s="421"/>
      <c r="D1428" s="419" t="s">
        <v>132</v>
      </c>
      <c r="E1428" s="50">
        <f t="shared" si="22"/>
        <v>1</v>
      </c>
      <c r="F1428" s="285">
        <f t="shared" si="23"/>
        <v>0</v>
      </c>
      <c r="H1428" s="458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2141</v>
      </c>
      <c r="B1429" s="28"/>
      <c r="C1429" s="276"/>
      <c r="D1429" s="419" t="s">
        <v>129</v>
      </c>
      <c r="E1429" s="50">
        <f t="shared" si="22"/>
        <v>0</v>
      </c>
      <c r="F1429" s="285">
        <f t="shared" si="23"/>
        <v>0</v>
      </c>
      <c r="H1429" s="45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2"/>
        <v>0</v>
      </c>
      <c r="F1430" s="285">
        <f t="shared" si="23"/>
        <v>0</v>
      </c>
      <c r="H1430" s="458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2792</v>
      </c>
      <c r="B1431" s="28"/>
      <c r="C1431" s="276"/>
      <c r="D1431" s="419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2142</v>
      </c>
      <c r="B1432" s="421"/>
      <c r="C1432" s="421"/>
      <c r="D1432" s="419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2"/>
        <v>0</v>
      </c>
      <c r="F1433" s="285">
        <f t="shared" si="23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2862</v>
      </c>
      <c r="B1434" s="28"/>
      <c r="C1434" s="276"/>
      <c r="D1434" s="419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2143</v>
      </c>
      <c r="B1435" s="28"/>
      <c r="C1435" s="276"/>
      <c r="D1435" s="419" t="s">
        <v>129</v>
      </c>
      <c r="E1435" s="50">
        <f t="shared" si="22"/>
        <v>4</v>
      </c>
      <c r="F1435" s="285">
        <f t="shared" si="23"/>
        <v>50</v>
      </c>
      <c r="H1435" s="50">
        <v>27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2801</v>
      </c>
      <c r="B1436" s="28"/>
      <c r="C1436" s="276"/>
      <c r="D1436" s="419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2745</v>
      </c>
      <c r="B1437" s="28"/>
      <c r="C1437" s="276"/>
      <c r="D1437" s="419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2746</v>
      </c>
      <c r="B1440" s="28"/>
      <c r="C1440" s="276"/>
      <c r="D1440" s="419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3087</v>
      </c>
      <c r="B1441" s="28"/>
      <c r="C1441" s="276"/>
      <c r="D1441" s="419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2144</v>
      </c>
      <c r="B1443" s="28"/>
      <c r="C1443" s="276"/>
      <c r="D1443" s="419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2"/>
        <v>9</v>
      </c>
      <c r="F1447" s="285">
        <f t="shared" si="23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2"/>
        <v>69</v>
      </c>
      <c r="F1448" s="285">
        <f t="shared" si="23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2080</v>
      </c>
      <c r="B1450" s="28"/>
      <c r="C1450" s="276"/>
      <c r="D1450" s="419" t="s">
        <v>129</v>
      </c>
      <c r="E1450" s="50">
        <f t="shared" si="24"/>
        <v>1</v>
      </c>
      <c r="F1450" s="285">
        <f t="shared" si="25"/>
        <v>10</v>
      </c>
      <c r="H1450" s="458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4"/>
        <v>3</v>
      </c>
      <c r="F1451" s="285">
        <f t="shared" si="25"/>
        <v>0</v>
      </c>
      <c r="H1451" s="458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2145</v>
      </c>
      <c r="B1452" s="28"/>
      <c r="C1452" s="276"/>
      <c r="D1452" s="419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2331</v>
      </c>
      <c r="B1453" s="28"/>
      <c r="C1453" s="276"/>
      <c r="D1453" s="419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4"/>
        <v>1</v>
      </c>
      <c r="F1455" s="285">
        <f t="shared" si="25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4"/>
        <v>3</v>
      </c>
      <c r="F1456" s="285">
        <f t="shared" si="25"/>
        <v>96</v>
      </c>
      <c r="H1456" s="50">
        <v>74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2627</v>
      </c>
      <c r="B1457" s="28"/>
      <c r="C1457" s="276"/>
      <c r="D1457" s="419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2083</v>
      </c>
      <c r="B1458" s="421"/>
      <c r="C1458" s="421"/>
      <c r="D1458" s="419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2789</v>
      </c>
      <c r="B1460" s="418"/>
      <c r="C1460" s="418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2523</v>
      </c>
      <c r="B1461" s="28"/>
      <c r="C1461" s="276"/>
      <c r="D1461" s="419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3092</v>
      </c>
      <c r="B1462" s="421"/>
      <c r="C1462" s="421"/>
      <c r="D1462" s="419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2146</v>
      </c>
      <c r="B1464" s="28"/>
      <c r="C1464" s="276"/>
      <c r="D1464" s="419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2586</v>
      </c>
      <c r="B1465" s="421"/>
      <c r="C1465" s="421"/>
      <c r="D1465" s="419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2553</v>
      </c>
      <c r="C1466" s="276"/>
      <c r="D1466" s="419" t="s">
        <v>129</v>
      </c>
      <c r="E1466" s="50">
        <f t="shared" si="24"/>
        <v>1</v>
      </c>
      <c r="F1466" s="285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2716</v>
      </c>
      <c r="B1467" s="28"/>
      <c r="C1467" s="421"/>
      <c r="D1467" s="419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2596</v>
      </c>
      <c r="B1468" s="421"/>
      <c r="C1468" s="421"/>
      <c r="D1468" s="419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4"/>
        <v>4</v>
      </c>
      <c r="F1469" s="285">
        <f t="shared" si="25"/>
        <v>2</v>
      </c>
      <c r="H1469" s="50">
        <v>2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2711</v>
      </c>
      <c r="B1470" s="28"/>
      <c r="C1470" s="276"/>
      <c r="D1470" s="419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4"/>
        <v>6</v>
      </c>
      <c r="F1471" s="285">
        <f t="shared" si="25"/>
        <v>0</v>
      </c>
      <c r="H1471" s="458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2618</v>
      </c>
      <c r="B1472" s="28"/>
      <c r="C1472" s="276"/>
      <c r="D1472" s="419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2147</v>
      </c>
      <c r="B1474" s="421"/>
      <c r="C1474" s="421"/>
      <c r="D1474" s="419" t="s">
        <v>132</v>
      </c>
      <c r="E1474" s="50">
        <f t="shared" si="24"/>
        <v>2</v>
      </c>
      <c r="F1474" s="285">
        <f t="shared" si="25"/>
        <v>16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4"/>
        <v>25</v>
      </c>
      <c r="F1476" s="285">
        <f t="shared" si="25"/>
        <v>54</v>
      </c>
      <c r="H1476" s="50">
        <v>48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4"/>
        <v>22</v>
      </c>
      <c r="F1477" s="285">
        <f t="shared" si="25"/>
        <v>122</v>
      </c>
      <c r="H1477" s="50">
        <v>86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2848</v>
      </c>
      <c r="B1478" s="28"/>
      <c r="C1478" s="276"/>
      <c r="D1478" s="419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4"/>
        <v>2</v>
      </c>
      <c r="F1479" s="285">
        <f t="shared" si="25"/>
        <v>11</v>
      </c>
      <c r="H1479" s="458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2874</v>
      </c>
      <c r="B1480" s="28"/>
      <c r="C1480" s="276"/>
      <c r="D1480" s="419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4"/>
        <v>1</v>
      </c>
      <c r="F1482" s="285">
        <f t="shared" si="25"/>
        <v>0</v>
      </c>
      <c r="H1482" s="458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4"/>
        <v>1</v>
      </c>
      <c r="F1483" s="285">
        <f t="shared" si="25"/>
        <v>0</v>
      </c>
      <c r="H1483" s="458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2817</v>
      </c>
      <c r="B1484" s="28"/>
      <c r="C1484" s="276"/>
      <c r="D1484" s="419" t="s">
        <v>129</v>
      </c>
      <c r="E1484" s="50">
        <f t="shared" si="24"/>
        <v>0</v>
      </c>
      <c r="F1484" s="285">
        <f t="shared" si="25"/>
        <v>0</v>
      </c>
      <c r="H1484" s="458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2854</v>
      </c>
      <c r="B1485" s="28"/>
      <c r="C1485" s="276"/>
      <c r="D1485" s="419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4"/>
        <v>0</v>
      </c>
      <c r="F1486" s="285">
        <f t="shared" si="25"/>
        <v>18</v>
      </c>
      <c r="H1486" s="458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4"/>
        <v>9</v>
      </c>
      <c r="F1489" s="285">
        <f t="shared" si="25"/>
        <v>7</v>
      </c>
      <c r="H1489" s="50">
        <v>1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2793</v>
      </c>
      <c r="B1490" s="28"/>
      <c r="C1490" s="276"/>
      <c r="D1490" s="419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2610</v>
      </c>
      <c r="B1492" s="421"/>
      <c r="C1492" s="421"/>
      <c r="D1492" s="419" t="s">
        <v>130</v>
      </c>
      <c r="E1492" s="50">
        <f t="shared" si="24"/>
        <v>1</v>
      </c>
      <c r="F1492" s="285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4"/>
        <v>3</v>
      </c>
      <c r="F1493" s="285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2337</v>
      </c>
      <c r="B1494" s="280"/>
      <c r="C1494" s="418"/>
      <c r="D1494" s="419" t="s">
        <v>134</v>
      </c>
      <c r="E1494" s="50">
        <f t="shared" si="24"/>
        <v>33</v>
      </c>
      <c r="F1494" s="285">
        <f t="shared" si="25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2350</v>
      </c>
      <c r="B1495" s="28"/>
      <c r="C1495" s="276"/>
      <c r="D1495" s="419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2734</v>
      </c>
      <c r="B1499" s="28"/>
      <c r="C1499" s="276"/>
      <c r="D1499" s="419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2871</v>
      </c>
      <c r="B1500" s="28"/>
      <c r="C1500" s="276"/>
      <c r="D1500" s="419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4"/>
        <v>16</v>
      </c>
      <c r="F1503" s="285">
        <f t="shared" si="25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2058</v>
      </c>
      <c r="B1505" s="418"/>
      <c r="C1505" s="418"/>
      <c r="D1505" s="419" t="s">
        <v>140</v>
      </c>
      <c r="E1505" s="50">
        <f t="shared" si="24"/>
        <v>25</v>
      </c>
      <c r="F1505" s="285">
        <f t="shared" si="25"/>
        <v>126</v>
      </c>
      <c r="H1505" s="50">
        <v>2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4"/>
        <v>4</v>
      </c>
      <c r="F1506" s="285">
        <f t="shared" si="25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2148</v>
      </c>
      <c r="B1507" s="28"/>
      <c r="C1507" s="276"/>
      <c r="D1507" s="419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2883</v>
      </c>
      <c r="B1510" s="28"/>
      <c r="C1510" s="276"/>
      <c r="D1510" s="419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4"/>
        <v>7</v>
      </c>
      <c r="F1511" s="285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4"/>
        <v>9</v>
      </c>
      <c r="F1512" s="285">
        <f t="shared" si="25"/>
        <v>7</v>
      </c>
      <c r="H1512" s="50">
        <v>7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2625</v>
      </c>
      <c r="B1513" s="28"/>
      <c r="C1513" s="276"/>
      <c r="D1513" s="419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2636</v>
      </c>
      <c r="B1514" s="28"/>
      <c r="C1514" s="276"/>
      <c r="D1514" s="419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2348</v>
      </c>
      <c r="B1516" s="418"/>
      <c r="C1516" s="418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2841</v>
      </c>
      <c r="B1517" s="28"/>
      <c r="C1517" s="276"/>
      <c r="D1517" s="419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2089</v>
      </c>
      <c r="B1519" s="28"/>
      <c r="C1519" s="276"/>
      <c r="D1519" s="419" t="s">
        <v>129</v>
      </c>
      <c r="E1519" s="50">
        <f t="shared" si="26"/>
        <v>1</v>
      </c>
      <c r="F1519" s="285">
        <f t="shared" si="27"/>
        <v>12</v>
      </c>
      <c r="H1519" s="50">
        <v>5</v>
      </c>
      <c r="I1519" s="50">
        <v>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2149</v>
      </c>
      <c r="B1520" s="28"/>
      <c r="C1520" s="276"/>
      <c r="D1520" s="419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2652</v>
      </c>
      <c r="B1521" s="421"/>
      <c r="C1521" s="421"/>
      <c r="D1521" s="419" t="s">
        <v>132</v>
      </c>
      <c r="E1521" s="50">
        <f t="shared" si="26"/>
        <v>4</v>
      </c>
      <c r="F1521" s="285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2750</v>
      </c>
      <c r="B1523" s="28"/>
      <c r="C1523" s="276"/>
      <c r="D1523" s="419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2712</v>
      </c>
      <c r="B1525" s="28"/>
      <c r="C1525" s="276"/>
      <c r="D1525" s="419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26"/>
        <v>0</v>
      </c>
      <c r="F1526" s="285">
        <f t="shared" si="27"/>
        <v>0</v>
      </c>
      <c r="H1526" s="458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26"/>
        <v>0</v>
      </c>
      <c r="F1527" s="285">
        <f t="shared" si="27"/>
        <v>1</v>
      </c>
      <c r="H1527" s="458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26"/>
        <v>14</v>
      </c>
      <c r="F1528" s="285">
        <f t="shared" si="27"/>
        <v>27</v>
      </c>
      <c r="H1528" s="458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26"/>
        <v>1</v>
      </c>
      <c r="F1529" s="285">
        <f t="shared" si="27"/>
        <v>0</v>
      </c>
      <c r="H1529" s="458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2621</v>
      </c>
      <c r="B1531" s="421"/>
      <c r="C1531" s="421"/>
      <c r="D1531" s="419" t="s">
        <v>135</v>
      </c>
      <c r="E1531" s="50">
        <f t="shared" si="26"/>
        <v>14</v>
      </c>
      <c r="F1531" s="285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2751</v>
      </c>
      <c r="B1532" s="28"/>
      <c r="C1532" s="276"/>
      <c r="D1532" s="419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26"/>
        <v>34</v>
      </c>
      <c r="F1533" s="285">
        <f t="shared" si="27"/>
        <v>42</v>
      </c>
      <c r="H1533" s="50">
        <v>35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2620</v>
      </c>
      <c r="B1535" s="28"/>
      <c r="C1535" s="276"/>
      <c r="D1535" s="419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26"/>
        <v>4</v>
      </c>
      <c r="F1536" s="285">
        <f t="shared" si="27"/>
        <v>1</v>
      </c>
      <c r="H1536" s="458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2654</v>
      </c>
      <c r="B1537" s="28"/>
      <c r="C1537" s="276"/>
      <c r="D1537" s="419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2708</v>
      </c>
      <c r="B1538" s="28"/>
      <c r="C1538" s="276"/>
      <c r="D1538" s="419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2814</v>
      </c>
      <c r="B1542" s="421"/>
      <c r="C1542" s="421"/>
      <c r="D1542" s="419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26"/>
        <v>3</v>
      </c>
      <c r="F1543" s="285">
        <f t="shared" si="27"/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2150</v>
      </c>
      <c r="B1544" s="28"/>
      <c r="C1544" s="421"/>
      <c r="D1544" s="419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26"/>
        <v>3</v>
      </c>
      <c r="F1545" s="285">
        <f t="shared" si="27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2867</v>
      </c>
      <c r="B1546" s="28"/>
      <c r="C1546" s="276"/>
      <c r="D1546" s="419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26"/>
        <v>12</v>
      </c>
      <c r="F1548" s="285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2063</v>
      </c>
      <c r="B1549" s="421"/>
      <c r="C1549" s="421"/>
      <c r="D1549" s="419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26"/>
        <v>0</v>
      </c>
      <c r="F1550" s="285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26"/>
        <v>23</v>
      </c>
      <c r="F1551" s="285">
        <f t="shared" si="27"/>
        <v>35</v>
      </c>
      <c r="H1551" s="50">
        <v>30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3098</v>
      </c>
      <c r="B1553" s="28"/>
      <c r="C1553" s="276"/>
      <c r="D1553" s="419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26"/>
        <v>5</v>
      </c>
      <c r="F1555" s="285">
        <f t="shared" si="27"/>
        <v>73</v>
      </c>
      <c r="H1555" s="50">
        <v>20</v>
      </c>
      <c r="I1555" s="50">
        <v>42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2658</v>
      </c>
      <c r="B1556" s="28"/>
      <c r="C1556" s="276"/>
      <c r="D1556" s="419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26"/>
        <v>8</v>
      </c>
      <c r="F1557" s="285">
        <f t="shared" si="27"/>
        <v>80</v>
      </c>
      <c r="H1557" s="50">
        <v>2</v>
      </c>
      <c r="I1557" s="50">
        <v>40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2076</v>
      </c>
      <c r="B1560" s="421"/>
      <c r="C1560" s="421"/>
      <c r="D1560" s="419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26"/>
        <v>8</v>
      </c>
      <c r="F1561" s="285">
        <f t="shared" si="27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26"/>
        <v>0</v>
      </c>
      <c r="F1562" s="285">
        <f t="shared" si="27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2722</v>
      </c>
      <c r="B1564" s="28"/>
      <c r="C1564" s="421"/>
      <c r="D1564" s="419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2516</v>
      </c>
      <c r="B1565" s="421"/>
      <c r="C1565" s="421"/>
      <c r="D1565" s="419" t="s">
        <v>130</v>
      </c>
      <c r="E1565" s="50">
        <f t="shared" si="26"/>
        <v>1</v>
      </c>
      <c r="F1565" s="285">
        <f t="shared" si="27"/>
        <v>11</v>
      </c>
      <c r="I1565" s="50">
        <v>5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2804</v>
      </c>
      <c r="B1566" s="28"/>
      <c r="C1566" s="276"/>
      <c r="D1566" s="419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2151</v>
      </c>
      <c r="B1567" s="28"/>
      <c r="C1567" s="276"/>
      <c r="D1567" s="419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26"/>
        <v>0</v>
      </c>
      <c r="F1568" s="285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26"/>
        <v>0</v>
      </c>
      <c r="F1569" s="285">
        <f t="shared" si="27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26"/>
        <v>6</v>
      </c>
      <c r="F1571" s="285">
        <f t="shared" si="27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26"/>
        <v>7</v>
      </c>
      <c r="F1572" s="285">
        <f t="shared" si="27"/>
        <v>73</v>
      </c>
      <c r="H1572" s="50">
        <v>67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2791</v>
      </c>
      <c r="B1573" s="28"/>
      <c r="C1573" s="421"/>
      <c r="D1573" s="419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26"/>
        <v>4</v>
      </c>
      <c r="F1576" s="285">
        <f t="shared" si="27"/>
        <v>53</v>
      </c>
      <c r="H1576" s="458">
        <v>53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2338</v>
      </c>
      <c r="B1577" s="170"/>
      <c r="C1577" s="418"/>
      <c r="D1577" s="419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28"/>
        <v>2</v>
      </c>
      <c r="F1578" s="285">
        <f t="shared" si="29"/>
        <v>0</v>
      </c>
      <c r="H1578" s="45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28"/>
        <v>0</v>
      </c>
      <c r="F1579" s="285">
        <f t="shared" si="29"/>
        <v>0</v>
      </c>
      <c r="H1579" s="458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2568</v>
      </c>
      <c r="B1581" s="421"/>
      <c r="C1581" s="421"/>
      <c r="D1581" s="419" t="s">
        <v>135</v>
      </c>
      <c r="E1581" s="50">
        <f t="shared" si="28"/>
        <v>47</v>
      </c>
      <c r="F1581" s="285">
        <f t="shared" si="29"/>
        <v>83</v>
      </c>
      <c r="H1581" s="458">
        <v>70</v>
      </c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28"/>
        <v>3</v>
      </c>
      <c r="F1582" s="285">
        <f t="shared" si="29"/>
        <v>98</v>
      </c>
      <c r="H1582" s="50">
        <v>21</v>
      </c>
      <c r="I1582" s="50">
        <v>72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2085</v>
      </c>
      <c r="B1583" s="28"/>
      <c r="C1583" s="276"/>
      <c r="D1583" s="419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28"/>
        <v>10</v>
      </c>
      <c r="F1584" s="285">
        <f t="shared" si="29"/>
        <v>38</v>
      </c>
      <c r="H1584" s="50">
        <v>38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2152</v>
      </c>
      <c r="B1586" s="28"/>
      <c r="C1586" s="276"/>
      <c r="D1586" s="419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2761</v>
      </c>
      <c r="B1587" s="28"/>
      <c r="C1587" s="276"/>
      <c r="D1587" s="419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2518</v>
      </c>
      <c r="B1588" s="421"/>
      <c r="C1588" s="421"/>
      <c r="D1588" s="419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2845</v>
      </c>
      <c r="B1589" s="28"/>
      <c r="C1589" s="421"/>
      <c r="D1589" s="419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2781</v>
      </c>
      <c r="B1592" s="28"/>
      <c r="C1592" s="276"/>
      <c r="D1592" s="419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28"/>
        <v>15</v>
      </c>
      <c r="F1593" s="285">
        <f t="shared" si="29"/>
        <v>80</v>
      </c>
      <c r="H1593" s="50">
        <v>70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28"/>
        <v>97</v>
      </c>
      <c r="F1594" s="285">
        <f t="shared" si="29"/>
        <v>383</v>
      </c>
      <c r="H1594" s="458">
        <v>383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28"/>
        <v>1</v>
      </c>
      <c r="F1595" s="285">
        <f t="shared" si="29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2835</v>
      </c>
      <c r="B1598" s="28"/>
      <c r="C1598" s="421"/>
      <c r="D1598" s="419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2086</v>
      </c>
      <c r="B1599" s="418"/>
      <c r="C1599" s="418"/>
      <c r="D1599" s="1" t="s">
        <v>131</v>
      </c>
      <c r="E1599" s="50">
        <f t="shared" si="28"/>
        <v>7</v>
      </c>
      <c r="F1599" s="285">
        <f t="shared" si="29"/>
        <v>71</v>
      </c>
      <c r="H1599" s="50">
        <v>40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28"/>
        <v>14</v>
      </c>
      <c r="F1601" s="285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3138</v>
      </c>
      <c r="B1602" s="28"/>
      <c r="C1602" s="421"/>
      <c r="D1602" s="419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28"/>
        <v>71</v>
      </c>
      <c r="F1603" s="285">
        <f t="shared" si="29"/>
        <v>338</v>
      </c>
      <c r="H1603" s="50">
        <v>338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2153</v>
      </c>
      <c r="B1605" s="28"/>
      <c r="C1605" s="276"/>
      <c r="D1605" s="419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2073</v>
      </c>
      <c r="B1606" s="418"/>
      <c r="C1606" s="418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2099</v>
      </c>
      <c r="B1607" s="28"/>
      <c r="C1607" s="421"/>
      <c r="D1607" s="419" t="s">
        <v>129</v>
      </c>
      <c r="E1607" s="50">
        <f t="shared" si="28"/>
        <v>4</v>
      </c>
      <c r="F1607" s="285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2857</v>
      </c>
      <c r="B1608" s="28"/>
      <c r="C1608" s="276"/>
      <c r="D1608" s="419" t="s">
        <v>129</v>
      </c>
      <c r="E1608" s="50">
        <f t="shared" si="28"/>
        <v>9</v>
      </c>
      <c r="F1608" s="285">
        <f t="shared" si="29"/>
        <v>59</v>
      </c>
      <c r="H1608" s="50">
        <v>33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28"/>
        <v>0</v>
      </c>
      <c r="F1610" s="285">
        <f t="shared" si="29"/>
        <v>0</v>
      </c>
      <c r="H1610" s="458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28"/>
        <v>6</v>
      </c>
      <c r="F1611" s="285">
        <f t="shared" si="29"/>
        <v>19</v>
      </c>
      <c r="H1611" s="50">
        <v>19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2071</v>
      </c>
      <c r="B1612" s="421"/>
      <c r="C1612" s="421"/>
      <c r="D1612" s="419" t="s">
        <v>135</v>
      </c>
      <c r="E1612" s="50">
        <f t="shared" si="28"/>
        <v>3</v>
      </c>
      <c r="F1612" s="285">
        <f t="shared" si="29"/>
        <v>75</v>
      </c>
      <c r="H1612" s="50">
        <v>18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28"/>
        <v>8</v>
      </c>
      <c r="F1613" s="285">
        <f t="shared" si="29"/>
        <v>114</v>
      </c>
      <c r="H1613" s="50">
        <v>79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2100</v>
      </c>
      <c r="B1614" s="28"/>
      <c r="C1614" s="276"/>
      <c r="D1614" s="419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28"/>
        <v>5</v>
      </c>
      <c r="F1615" s="285">
        <f t="shared" si="29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2681</v>
      </c>
      <c r="B1616" s="28"/>
      <c r="C1616" s="276"/>
      <c r="D1616" s="419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28"/>
        <v>8</v>
      </c>
      <c r="F1618" s="285">
        <f t="shared" si="29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2873</v>
      </c>
      <c r="B1622" s="28"/>
      <c r="C1622" s="276"/>
      <c r="D1622" s="419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2719</v>
      </c>
      <c r="B1623" s="28"/>
      <c r="C1623" s="276"/>
      <c r="D1623" s="419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2097</v>
      </c>
      <c r="B1624" s="421"/>
      <c r="C1624" s="421"/>
      <c r="D1624" s="419" t="s">
        <v>130</v>
      </c>
      <c r="E1624" s="50">
        <f t="shared" si="28"/>
        <v>2</v>
      </c>
      <c r="F1624" s="285">
        <f t="shared" si="29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2608</v>
      </c>
      <c r="B1625" s="418"/>
      <c r="C1625" s="418"/>
      <c r="D1625" s="1" t="s">
        <v>131</v>
      </c>
      <c r="E1625" s="50">
        <f t="shared" si="28"/>
        <v>12</v>
      </c>
      <c r="F1625" s="285">
        <f t="shared" si="29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28"/>
        <v>27</v>
      </c>
      <c r="F1626" s="285">
        <f t="shared" si="29"/>
        <v>70</v>
      </c>
      <c r="H1626" s="50">
        <v>12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2609</v>
      </c>
      <c r="B1627" s="28"/>
      <c r="C1627" s="421"/>
      <c r="D1627" s="419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2344</v>
      </c>
      <c r="B1628" s="421"/>
      <c r="C1628" s="421"/>
      <c r="D1628" s="419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2671</v>
      </c>
      <c r="B1629" s="28"/>
      <c r="C1629" s="276"/>
      <c r="D1629" s="419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28"/>
        <v>12</v>
      </c>
      <c r="F1631" s="285">
        <f t="shared" si="29"/>
        <v>150</v>
      </c>
      <c r="H1631" s="50">
        <v>135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2342</v>
      </c>
      <c r="B1634" s="280"/>
      <c r="C1634" s="418"/>
      <c r="D1634" s="419" t="s">
        <v>134</v>
      </c>
      <c r="E1634" s="50">
        <f t="shared" si="28"/>
        <v>10</v>
      </c>
      <c r="F1634" s="285">
        <f t="shared" si="29"/>
        <v>94</v>
      </c>
      <c r="H1634" s="50">
        <v>34</v>
      </c>
      <c r="J1634" s="50">
        <v>60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28"/>
        <v>2</v>
      </c>
      <c r="F1636" s="285">
        <f t="shared" si="29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28"/>
        <v>4</v>
      </c>
      <c r="F1637" s="285">
        <f t="shared" si="29"/>
        <v>6</v>
      </c>
      <c r="H1637" s="50">
        <v>4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3129</v>
      </c>
      <c r="B1638" s="28"/>
      <c r="C1638" s="276"/>
      <c r="D1638" s="419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2343</v>
      </c>
      <c r="B1639" s="421"/>
      <c r="C1639" s="421"/>
      <c r="D1639" s="419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28"/>
        <v>30</v>
      </c>
      <c r="F1640" s="285">
        <f t="shared" si="29"/>
        <v>58</v>
      </c>
      <c r="H1640" s="50">
        <v>40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6</v>
      </c>
      <c r="H1641" s="50">
        <v>6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0"/>
        <v>3</v>
      </c>
      <c r="F1642" s="285">
        <f t="shared" si="31"/>
        <v>0</v>
      </c>
      <c r="H1642" s="45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2087</v>
      </c>
      <c r="B1644" s="418"/>
      <c r="C1644" s="418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0"/>
        <v>1</v>
      </c>
      <c r="F1645" s="285">
        <f t="shared" si="31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2574</v>
      </c>
      <c r="B1646" s="28"/>
      <c r="C1646" s="421"/>
      <c r="D1646" s="419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2515</v>
      </c>
      <c r="B1648" s="28"/>
      <c r="C1648" s="276"/>
      <c r="D1648" s="419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2710</v>
      </c>
      <c r="B1649" s="28"/>
      <c r="C1649" s="276"/>
      <c r="D1649" s="419" t="s">
        <v>129</v>
      </c>
      <c r="E1649" s="50">
        <f t="shared" si="30"/>
        <v>1</v>
      </c>
      <c r="F1649" s="285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0"/>
        <v>80</v>
      </c>
      <c r="F1652" s="285">
        <f t="shared" si="31"/>
        <v>149</v>
      </c>
      <c r="H1652" s="50">
        <v>112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2740</v>
      </c>
      <c r="B1653" s="28"/>
      <c r="C1653" s="276"/>
      <c r="D1653" s="419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2727</v>
      </c>
      <c r="B1654" s="28"/>
      <c r="C1654" s="276"/>
      <c r="D1654" s="419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2650</v>
      </c>
      <c r="B1655" s="28"/>
      <c r="C1655" s="421"/>
      <c r="D1655" s="419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0"/>
        <v>20</v>
      </c>
      <c r="F1657" s="285">
        <f t="shared" si="31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2728</v>
      </c>
      <c r="B1659" s="28"/>
      <c r="C1659" s="276"/>
      <c r="D1659" s="419" t="s">
        <v>129</v>
      </c>
      <c r="E1659" s="50">
        <f t="shared" si="30"/>
        <v>0</v>
      </c>
      <c r="F1659" s="285">
        <f t="shared" si="31"/>
        <v>8</v>
      </c>
      <c r="H1659" s="458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0"/>
        <v>10</v>
      </c>
      <c r="F1661" s="285">
        <f t="shared" si="31"/>
        <v>30</v>
      </c>
      <c r="H1661" s="50">
        <v>22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2154</v>
      </c>
      <c r="B1662" s="28"/>
      <c r="C1662" s="421"/>
      <c r="D1662" s="419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2095</v>
      </c>
      <c r="B1665" s="421"/>
      <c r="C1665" s="421"/>
      <c r="D1665" s="419" t="s">
        <v>130</v>
      </c>
      <c r="E1665" s="50">
        <f t="shared" si="30"/>
        <v>4</v>
      </c>
      <c r="F1665" s="285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2680</v>
      </c>
      <c r="B1667" s="421"/>
      <c r="C1667" s="421"/>
      <c r="D1667" s="419" t="s">
        <v>132</v>
      </c>
      <c r="E1667" s="50">
        <f t="shared" si="30"/>
        <v>10</v>
      </c>
      <c r="F1667" s="285">
        <f t="shared" si="31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2559</v>
      </c>
      <c r="B1670" s="418"/>
      <c r="C1670" s="418"/>
      <c r="D1670" s="1" t="s">
        <v>131</v>
      </c>
      <c r="E1670" s="50">
        <f t="shared" si="30"/>
        <v>4</v>
      </c>
      <c r="F1670" s="285">
        <f t="shared" si="31"/>
        <v>105</v>
      </c>
      <c r="H1670" s="50">
        <v>28</v>
      </c>
      <c r="I1670" s="50">
        <v>40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2838</v>
      </c>
      <c r="B1672" s="28"/>
      <c r="C1672" s="276"/>
      <c r="D1672" s="419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2747</v>
      </c>
      <c r="B1673" s="28"/>
      <c r="C1673" s="421"/>
      <c r="D1673" s="419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3136</v>
      </c>
      <c r="B1674" s="28"/>
      <c r="C1674" s="276"/>
      <c r="D1674" s="419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2800</v>
      </c>
      <c r="B1675" s="421"/>
      <c r="C1675" s="421"/>
      <c r="D1675" s="419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2070</v>
      </c>
      <c r="B1677" s="421"/>
      <c r="C1677" s="421"/>
      <c r="D1677" s="419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2155</v>
      </c>
      <c r="B1678" s="28"/>
      <c r="C1678" s="421"/>
      <c r="D1678" s="419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0"/>
        <v>13</v>
      </c>
      <c r="F1680" s="285">
        <f t="shared" si="31"/>
        <v>64</v>
      </c>
      <c r="H1680" s="50">
        <v>62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0"/>
        <v>19</v>
      </c>
      <c r="F1681" s="285">
        <f t="shared" si="31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0"/>
        <v>45</v>
      </c>
      <c r="F1683" s="285">
        <f t="shared" si="31"/>
        <v>130</v>
      </c>
      <c r="H1683" s="50">
        <v>130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0"/>
        <v>39</v>
      </c>
      <c r="F1684" s="285">
        <f t="shared" si="31"/>
        <v>234</v>
      </c>
      <c r="H1684" s="50">
        <v>234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3091</v>
      </c>
      <c r="B1686" s="28"/>
      <c r="C1686" s="276"/>
      <c r="D1686" s="419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2756</v>
      </c>
      <c r="B1688" s="28"/>
      <c r="C1688" s="276"/>
      <c r="D1688" s="419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2757</v>
      </c>
      <c r="B1689" s="28"/>
      <c r="C1689" s="276"/>
      <c r="D1689" s="419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2594</v>
      </c>
      <c r="B1690" s="418"/>
      <c r="C1690" s="418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0"/>
        <v>0</v>
      </c>
      <c r="F1692" s="285">
        <f t="shared" si="31"/>
        <v>0</v>
      </c>
      <c r="H1692" s="458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2637</v>
      </c>
      <c r="B1693" s="28"/>
      <c r="C1693" s="276"/>
      <c r="D1693" s="419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0"/>
        <v>4</v>
      </c>
      <c r="F1694" s="285">
        <f t="shared" si="31"/>
        <v>23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0"/>
        <v>0</v>
      </c>
      <c r="F1695" s="285">
        <f t="shared" si="31"/>
        <v>76</v>
      </c>
      <c r="H1695" s="50">
        <v>27</v>
      </c>
      <c r="I1695" s="50">
        <v>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2081</v>
      </c>
      <c r="B1696" s="28"/>
      <c r="C1696" s="421"/>
      <c r="D1696" s="419" t="s">
        <v>129</v>
      </c>
      <c r="E1696" s="50">
        <f t="shared" si="30"/>
        <v>2</v>
      </c>
      <c r="F1696" s="285">
        <f t="shared" si="31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2825</v>
      </c>
      <c r="B1699" s="28"/>
      <c r="C1699" s="276"/>
      <c r="D1699" s="419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2291</v>
      </c>
      <c r="B1700" s="28"/>
      <c r="C1700" s="276"/>
      <c r="D1700" s="419" t="s">
        <v>129</v>
      </c>
      <c r="E1700" s="50">
        <f t="shared" si="30"/>
        <v>1</v>
      </c>
      <c r="F1700" s="285">
        <f t="shared" si="31"/>
        <v>50</v>
      </c>
      <c r="H1700" s="458">
        <v>42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4986</v>
      </c>
      <c r="B1706" s="28"/>
      <c r="C1706" s="28"/>
      <c r="D1706" s="28"/>
      <c r="E1706" s="28"/>
      <c r="F1706" s="285">
        <f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4598</v>
      </c>
      <c r="B1707" s="28"/>
      <c r="C1707" s="28"/>
      <c r="D1707" s="28"/>
      <c r="E1707" s="28"/>
      <c r="F1707" s="285">
        <f>SUM(G1707:L1707)</f>
        <v>11</v>
      </c>
      <c r="G1707" s="28"/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4621</v>
      </c>
      <c r="B1708" s="28"/>
      <c r="C1708" s="28"/>
      <c r="D1708" s="28"/>
      <c r="E1708" s="28"/>
      <c r="F1708" s="285">
        <f>SUM(G1708:L1708)</f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4602</v>
      </c>
      <c r="B1709" s="28"/>
      <c r="C1709" s="28"/>
      <c r="D1709" s="28"/>
      <c r="E1709" s="28"/>
      <c r="F1709" s="285">
        <f>SUM(G1709:L1709)</f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4954</v>
      </c>
      <c r="B1710" s="28"/>
      <c r="C1710" s="28"/>
      <c r="D1710" s="28"/>
      <c r="E1710" s="28"/>
      <c r="F1710" s="285">
        <f>SUM(G1710:L1710)</f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4989</v>
      </c>
      <c r="B1711" s="28"/>
      <c r="C1711" s="28"/>
      <c r="D1711" s="28"/>
      <c r="E1711" s="28"/>
      <c r="F1711" s="285">
        <f>SUM(G1711:L1711)</f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4752</v>
      </c>
      <c r="B1712" s="28"/>
      <c r="C1712" s="28"/>
      <c r="D1712" s="28"/>
      <c r="E1712" s="28"/>
      <c r="F1712" s="285">
        <f>SUM(G1712:L1712)</f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4550</v>
      </c>
      <c r="B1713" s="28"/>
      <c r="C1713" s="28"/>
      <c r="D1713" s="28"/>
      <c r="E1713" s="28"/>
      <c r="F1713" s="285">
        <f>SUM(G1713:L1713)</f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4813</v>
      </c>
      <c r="B1714" s="28"/>
      <c r="C1714" s="28"/>
      <c r="D1714" s="28"/>
      <c r="E1714" s="28"/>
      <c r="F1714" s="285">
        <f>SUM(G1714:L1714)</f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4821</v>
      </c>
      <c r="B1715" s="28"/>
      <c r="C1715" s="28"/>
      <c r="D1715" s="28"/>
      <c r="E1715" s="28"/>
      <c r="F1715" s="285">
        <f>SUM(G1715:L1715)</f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4601</v>
      </c>
      <c r="B1716" s="28"/>
      <c r="C1716" s="28"/>
      <c r="D1716" s="28"/>
      <c r="E1716" s="28"/>
      <c r="F1716" s="285">
        <f>SUM(G1716:L1716)</f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4614</v>
      </c>
      <c r="B1717" s="28"/>
      <c r="C1717" s="28"/>
      <c r="D1717" s="28"/>
      <c r="E1717" s="28"/>
      <c r="F1717" s="285">
        <f>SUM(G1717:L1717)</f>
        <v>2</v>
      </c>
      <c r="G1717" s="28"/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4856</v>
      </c>
      <c r="B1718" s="28"/>
      <c r="C1718" s="28"/>
      <c r="D1718" s="28"/>
      <c r="E1718" s="28"/>
      <c r="F1718" s="285">
        <f>SUM(G1718:L1718)</f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5032</v>
      </c>
      <c r="B1719" s="28"/>
      <c r="C1719" s="28"/>
      <c r="D1719" s="28"/>
      <c r="E1719" s="28"/>
      <c r="F1719" s="285">
        <f>SUM(G1719:L1719)</f>
        <v>3</v>
      </c>
      <c r="G1719" s="28"/>
      <c r="H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4609</v>
      </c>
      <c r="B1720" s="28"/>
      <c r="C1720" s="28"/>
      <c r="D1720" s="28"/>
      <c r="E1720" s="28"/>
      <c r="F1720" s="285">
        <f>SUM(G1720:L1720)</f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4854</v>
      </c>
      <c r="B1721" s="28"/>
      <c r="C1721" s="28"/>
      <c r="D1721" s="28"/>
      <c r="E1721" s="28"/>
      <c r="F1721" s="285">
        <f>SUM(G1721:L1721)</f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4979</v>
      </c>
      <c r="B1722" s="28"/>
      <c r="C1722" s="28"/>
      <c r="D1722" s="28"/>
      <c r="E1722" s="28"/>
      <c r="F1722" s="285">
        <f>SUM(G1722:L1722)</f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4975</v>
      </c>
      <c r="B1723" s="28"/>
      <c r="C1723" s="28"/>
      <c r="D1723" s="28"/>
      <c r="E1723" s="28"/>
      <c r="F1723" s="285">
        <f>SUM(G1723:L1723)</f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4607</v>
      </c>
      <c r="B1724" s="28"/>
      <c r="C1724" s="28"/>
      <c r="D1724" s="28"/>
      <c r="E1724" s="28"/>
      <c r="F1724" s="285">
        <f>SUM(G1724:L1724)</f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4987</v>
      </c>
      <c r="B1725" s="28"/>
      <c r="C1725" s="28"/>
      <c r="D1725" s="28"/>
      <c r="E1725" s="28"/>
      <c r="F1725" s="285">
        <f>SUM(G1725:L1725)</f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4950</v>
      </c>
      <c r="B1726" s="28"/>
      <c r="C1726" s="28"/>
      <c r="D1726" s="28"/>
      <c r="E1726" s="28"/>
      <c r="F1726" s="285">
        <f>SUM(G1726:L1726)</f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4819</v>
      </c>
      <c r="B1727" s="28"/>
      <c r="C1727" s="28"/>
      <c r="D1727" s="28"/>
      <c r="E1727" s="28"/>
      <c r="F1727" s="285">
        <f>SUM(G1727:L1727)</f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4612</v>
      </c>
      <c r="B1728" s="28"/>
      <c r="C1728" s="28"/>
      <c r="D1728" s="28"/>
      <c r="E1728" s="28"/>
      <c r="F1728" s="285">
        <f>SUM(G1728:L1728)</f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4812</v>
      </c>
      <c r="B1729" s="28"/>
      <c r="C1729" s="28"/>
      <c r="D1729" s="28"/>
      <c r="E1729" s="28"/>
      <c r="F1729" s="285">
        <f>SUM(G1729:L1729)</f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4983</v>
      </c>
      <c r="B1730" s="28"/>
      <c r="C1730" s="28"/>
      <c r="D1730" s="28"/>
      <c r="E1730" s="28"/>
      <c r="F1730" s="285">
        <f>SUM(G1730:L1730)</f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4981</v>
      </c>
      <c r="B1731" s="28"/>
      <c r="C1731" s="28"/>
      <c r="D1731" s="28"/>
      <c r="E1731" s="28"/>
      <c r="F1731" s="285">
        <f>SUM(G1731:L1731)</f>
        <v>20</v>
      </c>
      <c r="G1731" s="28"/>
      <c r="J1731" s="50">
        <v>20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4849</v>
      </c>
      <c r="B1732" s="28"/>
      <c r="C1732" s="28"/>
      <c r="D1732" s="28"/>
      <c r="E1732" s="28"/>
      <c r="F1732" s="285">
        <f>SUM(G1732:L1732)</f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5082</v>
      </c>
      <c r="B1733" s="28"/>
      <c r="C1733" s="28"/>
      <c r="D1733" s="28"/>
      <c r="E1733" s="28"/>
      <c r="F1733" s="285">
        <f>SUM(G1733:L1733)</f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4978</v>
      </c>
      <c r="B1734" s="28"/>
      <c r="C1734" s="28"/>
      <c r="D1734" s="28"/>
      <c r="E1734" s="28"/>
      <c r="F1734" s="285">
        <f>SUM(G1734:L1734)</f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4976</v>
      </c>
      <c r="B1735" s="28"/>
      <c r="C1735" s="28"/>
      <c r="D1735" s="28"/>
      <c r="E1735" s="28"/>
      <c r="F1735" s="285">
        <f>SUM(G1735:L1735)</f>
        <v>9</v>
      </c>
      <c r="G1735" s="28"/>
      <c r="I1735" s="50">
        <v>9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4859</v>
      </c>
      <c r="B1736" s="28"/>
      <c r="C1736" s="28"/>
      <c r="D1736" s="28"/>
      <c r="E1736" s="28"/>
      <c r="F1736" s="285">
        <f>SUM(G1736:L1736)</f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4542</v>
      </c>
      <c r="B1737" s="28"/>
      <c r="C1737" s="28"/>
      <c r="D1737" s="28"/>
      <c r="E1737" s="28"/>
      <c r="F1737" s="285">
        <f>SUM(G1737:L1737)</f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4552</v>
      </c>
      <c r="B1738" s="28"/>
      <c r="C1738" s="28"/>
      <c r="D1738" s="28"/>
      <c r="E1738" s="28"/>
      <c r="F1738" s="285">
        <f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5084</v>
      </c>
      <c r="B1739" s="28"/>
      <c r="C1739" s="28"/>
      <c r="D1739" s="28"/>
      <c r="E1739" s="28"/>
      <c r="F1739" s="285">
        <f>SUM(G1739:L1739)</f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4992</v>
      </c>
      <c r="B1740" s="28"/>
      <c r="C1740" s="28"/>
      <c r="D1740" s="28"/>
      <c r="E1740" s="28"/>
      <c r="F1740" s="285">
        <f>SUM(G1740:L1740)</f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4833</v>
      </c>
      <c r="B1741" s="28"/>
      <c r="C1741" s="28"/>
      <c r="D1741" s="28"/>
      <c r="E1741" s="28"/>
      <c r="F1741" s="285">
        <f>SUM(G1741:L1741)</f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4544</v>
      </c>
      <c r="B1742" s="28"/>
      <c r="C1742" s="28"/>
      <c r="D1742" s="28"/>
      <c r="E1742" s="28"/>
      <c r="F1742" s="285">
        <f>SUM(G1742:L1742)</f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4949</v>
      </c>
      <c r="B1743" s="28"/>
      <c r="C1743" s="28"/>
      <c r="D1743" s="28"/>
      <c r="E1743" s="28"/>
      <c r="F1743" s="285">
        <f>SUM(G1743:L1743)</f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4757</v>
      </c>
      <c r="B1744" s="28"/>
      <c r="C1744" s="28"/>
      <c r="D1744" s="28"/>
      <c r="E1744" s="28"/>
      <c r="F1744" s="285">
        <f>SUM(G1744:L1744)</f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4811</v>
      </c>
      <c r="B1745" s="28"/>
      <c r="C1745" s="28"/>
      <c r="D1745" s="28"/>
      <c r="E1745" s="28"/>
      <c r="F1745" s="285">
        <f>SUM(G1745:L1745)</f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4547</v>
      </c>
      <c r="B1746" s="28"/>
      <c r="C1746" s="28"/>
      <c r="D1746" s="28"/>
      <c r="E1746" s="28"/>
      <c r="F1746" s="285">
        <f>SUM(G1746:L1746)</f>
        <v>16</v>
      </c>
      <c r="G1746" s="28"/>
      <c r="H1746" s="50">
        <v>12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4595</v>
      </c>
      <c r="B1747" s="28"/>
      <c r="C1747" s="28"/>
      <c r="D1747" s="28"/>
      <c r="E1747" s="28"/>
      <c r="F1747" s="285">
        <f>SUM(G1747:L1747)</f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4993</v>
      </c>
      <c r="B1748" s="28"/>
      <c r="C1748" s="28"/>
      <c r="D1748" s="28"/>
      <c r="E1748" s="28"/>
      <c r="F1748" s="285">
        <f>SUM(G1748:L1748)</f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4604</v>
      </c>
      <c r="B1749" s="28"/>
      <c r="C1749" s="28"/>
      <c r="D1749" s="28"/>
      <c r="E1749" s="28"/>
      <c r="F1749" s="285">
        <f>SUM(G1749:L1749)</f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4807</v>
      </c>
      <c r="B1750" s="28"/>
      <c r="C1750" s="28"/>
      <c r="D1750" s="28"/>
      <c r="E1750" s="28"/>
      <c r="F1750" s="285">
        <f>SUM(G1750:L1750)</f>
        <v>15</v>
      </c>
      <c r="G1750" s="28"/>
      <c r="K1750" s="489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4990</v>
      </c>
      <c r="B1751" s="28"/>
      <c r="C1751" s="28"/>
      <c r="D1751" s="28"/>
      <c r="E1751" s="28"/>
      <c r="F1751" s="285">
        <f>SUM(G1751:L1751)</f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4977</v>
      </c>
      <c r="B1752" s="28"/>
      <c r="C1752" s="28"/>
      <c r="D1752" s="28"/>
      <c r="E1752" s="28"/>
      <c r="F1752" s="285">
        <f>SUM(G1752:L1752)</f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4857</v>
      </c>
      <c r="B1753" s="28"/>
      <c r="C1753" s="28"/>
      <c r="D1753" s="28"/>
      <c r="E1753" s="28"/>
      <c r="F1753" s="285">
        <f>SUM(G1753:L1753)</f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4596</v>
      </c>
      <c r="B1754" s="28"/>
      <c r="C1754" s="28"/>
      <c r="D1754" s="28"/>
      <c r="E1754" s="28"/>
      <c r="F1754" s="285">
        <f>SUM(G1754:L1754)</f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4619</v>
      </c>
      <c r="B1755" s="28"/>
      <c r="C1755" s="28"/>
      <c r="D1755" s="28"/>
      <c r="E1755" s="28"/>
      <c r="F1755" s="285">
        <f>SUM(G1755:L1755)</f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4984</v>
      </c>
      <c r="B1756" s="28"/>
      <c r="C1756" s="28"/>
      <c r="D1756" s="28"/>
      <c r="E1756" s="28"/>
      <c r="F1756" s="285">
        <f>SUM(G1756:L1756)</f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4831</v>
      </c>
      <c r="B1757" s="28"/>
      <c r="C1757" s="28"/>
      <c r="D1757" s="28"/>
      <c r="E1757" s="28"/>
      <c r="F1757" s="285">
        <f>SUM(G1757:L1757)</f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4611</v>
      </c>
      <c r="B1758" s="28"/>
      <c r="C1758" s="28"/>
      <c r="D1758" s="28"/>
      <c r="E1758" s="28"/>
      <c r="F1758" s="285">
        <f>SUM(G1758:L1758)</f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4543</v>
      </c>
      <c r="B1759" s="28"/>
      <c r="C1759" s="28"/>
      <c r="D1759" s="28"/>
      <c r="E1759" s="28"/>
      <c r="F1759" s="285">
        <f>SUM(G1759:L1759)</f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5086</v>
      </c>
      <c r="B1760" s="28"/>
      <c r="C1760" s="28"/>
      <c r="D1760" s="28"/>
      <c r="E1760" s="28"/>
      <c r="F1760" s="285">
        <f>SUM(G1760:L1760)</f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4820</v>
      </c>
      <c r="B1761" s="28"/>
      <c r="C1761" s="28"/>
      <c r="D1761" s="28"/>
      <c r="E1761" s="28"/>
      <c r="F1761" s="285">
        <f>SUM(G1761:L1761)</f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4605</v>
      </c>
      <c r="B1762" s="28"/>
      <c r="C1762" s="28"/>
      <c r="D1762" s="28"/>
      <c r="E1762" s="28"/>
      <c r="F1762" s="285">
        <f>SUM(G1762:L1762)</f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4608</v>
      </c>
      <c r="B1763" s="28"/>
      <c r="C1763" s="28"/>
      <c r="D1763" s="28"/>
      <c r="E1763" s="28"/>
      <c r="F1763" s="285">
        <f>SUM(G1763:L1763)</f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5028</v>
      </c>
      <c r="B1764" s="28"/>
      <c r="C1764" s="28"/>
      <c r="D1764" s="28"/>
      <c r="E1764" s="28"/>
      <c r="F1764" s="285">
        <f>SUM(G1764:L1764)</f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4982</v>
      </c>
      <c r="B1765" s="28"/>
      <c r="C1765" s="28"/>
      <c r="D1765" s="28"/>
      <c r="E1765" s="28"/>
      <c r="F1765" s="285">
        <f>SUM(G1765:L1765)</f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4616</v>
      </c>
      <c r="B1766" s="28"/>
      <c r="C1766" s="28"/>
      <c r="D1766" s="28"/>
      <c r="E1766" s="28"/>
      <c r="F1766" s="285">
        <f>SUM(G1766:L1766)</f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4991</v>
      </c>
      <c r="B1767" s="28"/>
      <c r="C1767" s="28"/>
      <c r="D1767" s="28"/>
      <c r="E1767" s="28"/>
      <c r="F1767" s="285">
        <f>SUM(G1767:L1767)</f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5029</v>
      </c>
      <c r="B1768" s="28"/>
      <c r="C1768" s="28"/>
      <c r="D1768" s="28"/>
      <c r="E1768" s="28"/>
      <c r="F1768" s="285">
        <f>SUM(G1768:L1768)</f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4860</v>
      </c>
      <c r="B1769" s="28"/>
      <c r="C1769" s="28"/>
      <c r="D1769" s="28"/>
      <c r="E1769" s="28"/>
      <c r="F1769" s="285">
        <f>SUM(G1769:L1769)</f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4855</v>
      </c>
      <c r="B1770" s="28"/>
      <c r="C1770" s="28"/>
      <c r="D1770" s="28"/>
      <c r="E1770" s="28"/>
      <c r="F1770" s="285">
        <f>SUM(G1770:L1770)</f>
        <v>3</v>
      </c>
      <c r="G1770" s="28"/>
      <c r="J1770" s="489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4590</v>
      </c>
      <c r="B1771" s="28"/>
      <c r="C1771" s="28"/>
      <c r="D1771" s="28"/>
      <c r="E1771" s="28"/>
      <c r="F1771" s="285">
        <f>SUM(G1771:L1771)</f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4615</v>
      </c>
      <c r="B1772" s="28"/>
      <c r="C1772" s="28"/>
      <c r="D1772" s="28"/>
      <c r="E1772" s="28"/>
      <c r="F1772" s="285">
        <f>SUM(G1772:L1772)</f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5030</v>
      </c>
      <c r="B1773" s="28"/>
      <c r="C1773" s="28"/>
      <c r="D1773" s="28"/>
      <c r="E1773" s="28"/>
      <c r="F1773" s="285">
        <f>SUM(G1773:L1773)</f>
        <v>1</v>
      </c>
      <c r="G1773" s="28"/>
      <c r="I1773" s="50">
        <v>1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4589</v>
      </c>
      <c r="B1774" s="28"/>
      <c r="C1774" s="28"/>
      <c r="D1774" s="28"/>
      <c r="E1774" s="28"/>
      <c r="F1774" s="285">
        <f>SUM(G1774:L1774)</f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4865</v>
      </c>
      <c r="B1775" s="28"/>
      <c r="C1775" s="28"/>
      <c r="D1775" s="28"/>
      <c r="E1775" s="28"/>
      <c r="F1775" s="285">
        <f>SUM(G1775:L1775)</f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4575</v>
      </c>
      <c r="B1776" s="28"/>
      <c r="C1776" s="28"/>
      <c r="D1776" s="28"/>
      <c r="E1776" s="28"/>
      <c r="F1776" s="285">
        <f>SUM(G1776:L1776)</f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4985</v>
      </c>
      <c r="B1777" s="28"/>
      <c r="C1777" s="28"/>
      <c r="D1777" s="28"/>
      <c r="E1777" s="28"/>
      <c r="F1777" s="285">
        <f>SUM(G1777:L1777)</f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4853</v>
      </c>
      <c r="B1778" s="28"/>
      <c r="C1778" s="28"/>
      <c r="D1778" s="28"/>
      <c r="E1778" s="28"/>
      <c r="F1778" s="285">
        <f>SUM(G1778:L1778)</f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4610</v>
      </c>
      <c r="B1779" s="28"/>
      <c r="C1779" s="28"/>
      <c r="D1779" s="28"/>
      <c r="E1779" s="28"/>
      <c r="F1779" s="285">
        <f>SUM(G1779:L1779)</f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5031</v>
      </c>
      <c r="B1780" s="28"/>
      <c r="C1780" s="28"/>
      <c r="D1780" s="28"/>
      <c r="E1780" s="28"/>
      <c r="F1780" s="285">
        <f>SUM(G1780:L1780)</f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4808</v>
      </c>
      <c r="B1781" s="28"/>
      <c r="C1781" s="28"/>
      <c r="D1781" s="28"/>
      <c r="E1781" s="28"/>
      <c r="F1781" s="285">
        <f>SUM(G1781:L1781)</f>
        <v>3</v>
      </c>
      <c r="G1781" s="28"/>
      <c r="K1781" s="489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4617</v>
      </c>
      <c r="B1782" s="28"/>
      <c r="C1782" s="28"/>
      <c r="D1782" s="28"/>
      <c r="E1782" s="28"/>
      <c r="F1782" s="285">
        <f>SUM(G1782:L1782)</f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4549</v>
      </c>
      <c r="B1783" s="28"/>
      <c r="C1783" s="28"/>
      <c r="D1783" s="28"/>
      <c r="E1783" s="28"/>
      <c r="F1783" s="285">
        <f>SUM(G1783:L1783)</f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4599</v>
      </c>
      <c r="B1784" s="28"/>
      <c r="C1784" s="28"/>
      <c r="D1784" s="28"/>
      <c r="E1784" s="28"/>
      <c r="F1784" s="285">
        <f>SUM(G1784:L1784)</f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4600</v>
      </c>
      <c r="B1785" s="28"/>
      <c r="C1785" s="28"/>
      <c r="D1785" s="28"/>
      <c r="E1785" s="28"/>
      <c r="F1785" s="285">
        <f>SUM(G1785:L1785)</f>
        <v>12</v>
      </c>
      <c r="G1785" s="28"/>
      <c r="J1785" s="50">
        <v>11</v>
      </c>
      <c r="K1785" s="489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4862</v>
      </c>
      <c r="B1786" s="28"/>
      <c r="C1786" s="28"/>
      <c r="D1786" s="28"/>
      <c r="E1786" s="28"/>
      <c r="F1786" s="285">
        <f>SUM(G1786:L1786)</f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4580</v>
      </c>
      <c r="B1787" s="28"/>
      <c r="C1787" s="28"/>
      <c r="D1787" s="28"/>
      <c r="E1787" s="28"/>
      <c r="F1787" s="285">
        <f>SUM(G1787:L1787)</f>
        <v>18</v>
      </c>
      <c r="G1787" s="28"/>
      <c r="J1787" s="50">
        <v>18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4748</v>
      </c>
      <c r="B1788" s="28"/>
      <c r="C1788" s="28"/>
      <c r="D1788" s="28"/>
      <c r="E1788" s="28"/>
      <c r="F1788" s="285">
        <f>SUM(G1788:L1788)</f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4758</v>
      </c>
      <c r="B1789" s="28"/>
      <c r="C1789" s="28"/>
      <c r="D1789" s="28"/>
      <c r="E1789" s="28"/>
      <c r="F1789" s="285">
        <f>SUM(G1789:L1789)</f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4973</v>
      </c>
      <c r="B1790" s="28"/>
      <c r="C1790" s="28"/>
      <c r="D1790" s="28"/>
      <c r="E1790" s="28"/>
      <c r="F1790" s="285">
        <f>SUM(G1790:L1790)</f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4574</v>
      </c>
      <c r="B1791" s="28"/>
      <c r="C1791" s="28"/>
      <c r="D1791" s="28"/>
      <c r="E1791" s="28"/>
      <c r="F1791" s="285">
        <f>SUM(G1791:L1791)</f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4594</v>
      </c>
      <c r="B1792" s="28"/>
      <c r="C1792" s="28"/>
      <c r="D1792" s="28"/>
      <c r="E1792" s="28"/>
      <c r="F1792" s="285">
        <f>SUM(G1792:L1792)</f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4548</v>
      </c>
      <c r="B1793" s="28"/>
      <c r="C1793" s="28"/>
      <c r="D1793" s="28"/>
      <c r="E1793" s="28"/>
      <c r="F1793" s="285">
        <f>SUM(G1793:L1793)</f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4753</v>
      </c>
      <c r="B1794" s="28"/>
      <c r="C1794" s="28"/>
      <c r="D1794" s="28"/>
      <c r="E1794" s="28"/>
      <c r="F1794" s="285">
        <f>SUM(G1794:L1794)</f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4613</v>
      </c>
      <c r="B1795" s="28"/>
      <c r="C1795" s="28"/>
      <c r="D1795" s="28"/>
      <c r="E1795" s="28"/>
      <c r="F1795" s="285">
        <f>SUM(G1795:L1795)</f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4597</v>
      </c>
      <c r="B1796" s="28"/>
      <c r="C1796" s="28"/>
      <c r="D1796" s="28"/>
      <c r="E1796" s="28"/>
      <c r="F1796" s="285">
        <f>SUM(G1796:L1796)</f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4546</v>
      </c>
      <c r="B1797" s="28"/>
      <c r="C1797" s="28"/>
      <c r="D1797" s="28"/>
      <c r="E1797" s="28"/>
      <c r="F1797" s="285">
        <f>SUM(G1797:L1797)</f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4606</v>
      </c>
      <c r="B1798" s="28"/>
      <c r="C1798" s="28"/>
      <c r="D1798" s="28"/>
      <c r="E1798" s="28"/>
      <c r="F1798" s="285">
        <f>SUM(G1798:L1798)</f>
        <v>5</v>
      </c>
      <c r="G1798" s="28"/>
      <c r="I1798" s="50">
        <v>5</v>
      </c>
      <c r="K1798" s="194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5033</v>
      </c>
      <c r="B1799" s="28"/>
      <c r="C1799" s="28"/>
      <c r="D1799" s="28"/>
      <c r="E1799" s="28"/>
      <c r="F1799" s="285">
        <f>SUM(G1799:L1799)</f>
        <v>7</v>
      </c>
      <c r="G1799" s="28"/>
      <c r="H1799" s="50">
        <v>7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5085</v>
      </c>
      <c r="B1800" s="28"/>
      <c r="C1800" s="28"/>
      <c r="D1800" s="28"/>
      <c r="E1800" s="28"/>
      <c r="F1800" s="285">
        <f>SUM(G1800:L1800)</f>
        <v>3</v>
      </c>
      <c r="G1800" s="28"/>
      <c r="K1800" s="50">
        <v>3</v>
      </c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4545</v>
      </c>
      <c r="B1801" s="28"/>
      <c r="C1801" s="28"/>
      <c r="D1801" s="28"/>
      <c r="E1801" s="28"/>
      <c r="F1801" s="285">
        <f>SUM(G1801:L1801)</f>
        <v>2</v>
      </c>
      <c r="G1801" s="28"/>
      <c r="H1801" s="50">
        <v>2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4585</v>
      </c>
      <c r="B1802" s="28"/>
      <c r="C1802" s="28"/>
      <c r="D1802" s="28"/>
      <c r="E1802" s="28"/>
      <c r="F1802" s="285">
        <f>SUM(G1802:L1802)</f>
        <v>11</v>
      </c>
      <c r="G1802" s="28"/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4588</v>
      </c>
      <c r="B1803" s="28"/>
      <c r="C1803" s="28"/>
      <c r="D1803" s="28"/>
      <c r="E1803" s="28"/>
      <c r="F1803" s="285">
        <f>SUM(G1803:L1803)</f>
        <v>16</v>
      </c>
      <c r="G1803" s="28"/>
      <c r="H1803" s="50">
        <v>5</v>
      </c>
      <c r="J1803" s="50">
        <v>11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4980</v>
      </c>
      <c r="B1804" s="28"/>
      <c r="C1804" s="28"/>
      <c r="D1804" s="28"/>
      <c r="E1804" s="28"/>
      <c r="F1804" s="285">
        <f>SUM(G1804:L1804)</f>
        <v>3</v>
      </c>
      <c r="G1804" s="28"/>
      <c r="I1804" s="50">
        <v>3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5081</v>
      </c>
      <c r="B1805" s="28"/>
      <c r="C1805" s="28"/>
      <c r="D1805" s="28"/>
      <c r="E1805" s="28"/>
      <c r="F1805" s="285">
        <f>SUM(G1805:L1805)</f>
        <v>10</v>
      </c>
      <c r="G1805" s="28"/>
      <c r="K1805" s="50">
        <v>10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5083</v>
      </c>
      <c r="B1806" s="28"/>
      <c r="C1806" s="28"/>
      <c r="D1806" s="28"/>
      <c r="E1806" s="28"/>
      <c r="F1806" s="285">
        <f>SUM(G1806:L1806)</f>
        <v>15</v>
      </c>
      <c r="G1806" s="28"/>
      <c r="K1806" s="50">
        <v>15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4988</v>
      </c>
      <c r="B1807" s="28"/>
      <c r="C1807" s="28"/>
      <c r="D1807" s="28"/>
      <c r="E1807" s="28"/>
      <c r="F1807" s="285">
        <f>SUM(G1807:L1807)</f>
        <v>10</v>
      </c>
      <c r="G1807" s="28"/>
      <c r="J1807" s="50">
        <v>10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4974</v>
      </c>
      <c r="B1808" s="28"/>
      <c r="C1808" s="28"/>
      <c r="D1808" s="28"/>
      <c r="E1808" s="28"/>
      <c r="F1808" s="285">
        <f>SUM(G1808:L1808)</f>
        <v>17</v>
      </c>
      <c r="G1808" s="28"/>
      <c r="I1808" s="50">
        <v>1</v>
      </c>
      <c r="J1808" s="50">
        <v>16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5087</v>
      </c>
      <c r="B1809" s="28"/>
      <c r="C1809" s="28"/>
      <c r="D1809" s="28"/>
      <c r="E1809" s="28"/>
      <c r="F1809" s="285"/>
      <c r="G1809" s="28"/>
      <c r="J1809" s="50">
        <v>8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5088</v>
      </c>
      <c r="B1810" s="28"/>
      <c r="C1810" s="28"/>
      <c r="D1810" s="28"/>
      <c r="E1810" s="28"/>
      <c r="F1810" s="285"/>
      <c r="G1810" s="28"/>
      <c r="J1810" s="50">
        <v>3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5089</v>
      </c>
      <c r="B1811" s="28"/>
      <c r="C1811" s="28"/>
      <c r="D1811" s="28"/>
      <c r="E1811" s="28"/>
      <c r="F1811" s="285"/>
      <c r="G1811" s="28"/>
      <c r="J1811" s="50">
        <v>2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/>
      <c r="B1812" s="28"/>
      <c r="C1812" s="28"/>
      <c r="D1812" s="28"/>
      <c r="E1812" s="28"/>
      <c r="F1812" s="285"/>
      <c r="G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/>
      <c r="B1813" s="28"/>
      <c r="C1813" s="28"/>
      <c r="D1813" s="28"/>
      <c r="E1813" s="28"/>
      <c r="F1813" s="285"/>
      <c r="G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/>
      <c r="B1814" s="28"/>
      <c r="C1814" s="28"/>
      <c r="D1814" s="28"/>
      <c r="E1814" s="28"/>
      <c r="F1814" s="285"/>
      <c r="G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/>
      <c r="B1815" s="28"/>
      <c r="C1815" s="28"/>
      <c r="D1815" s="28"/>
      <c r="E1815" s="28"/>
      <c r="F1815" s="285"/>
      <c r="G1815" s="28"/>
      <c r="K1815" s="489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.75" customHeight="1">
      <c r="A1816" s="288"/>
      <c r="B1816" s="28"/>
      <c r="C1816" s="28"/>
      <c r="D1816" s="28"/>
      <c r="E1816" s="28"/>
      <c r="F1816" s="285"/>
      <c r="G1816" s="28"/>
      <c r="K1816" s="194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/>
      <c r="B1817" s="28"/>
      <c r="C1817" s="28"/>
      <c r="D1817" s="28"/>
      <c r="E1817" s="28"/>
      <c r="F1817" s="285"/>
      <c r="G1817" s="28"/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50">
        <f>SUM(F681:F1818)</f>
        <v>22490</v>
      </c>
      <c r="G1819" s="50">
        <f>SUM(G681:G1818)</f>
        <v>0</v>
      </c>
      <c r="H1819" s="50">
        <f>SUM(H681:H1818)</f>
        <v>15238</v>
      </c>
      <c r="I1819" s="50">
        <f>SUM(I681:I1818)</f>
        <v>4375</v>
      </c>
      <c r="J1819" s="50">
        <f>SUM(J681:J1818)</f>
        <v>2750</v>
      </c>
      <c r="K1819" s="50">
        <f>SUM(K681:K1818)</f>
        <v>140</v>
      </c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28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28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E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8"/>
      <c r="B2056" s="28"/>
      <c r="C2056" s="28"/>
      <c r="D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8"/>
      <c r="B2058" s="28"/>
      <c r="C2058" s="28"/>
      <c r="D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28"/>
      <c r="B2075" s="28"/>
      <c r="C2075" s="28"/>
      <c r="D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28"/>
      <c r="B2077" s="28"/>
      <c r="C2077" s="28"/>
      <c r="D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28"/>
      <c r="B2078" s="28"/>
      <c r="C2078" s="28"/>
      <c r="D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5.75" customHeight="1">
      <c r="A2079" s="228"/>
      <c r="B2079" s="28"/>
      <c r="C2079" s="28"/>
      <c r="D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28"/>
      <c r="B2098" s="28"/>
      <c r="C2098" s="28"/>
      <c r="D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F2116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28"/>
      <c r="B2123" s="28"/>
      <c r="C2123" s="28"/>
      <c r="D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28"/>
      <c r="V2123" s="28"/>
      <c r="W2123" s="28"/>
      <c r="X2123" s="28"/>
      <c r="AC2123" s="28"/>
      <c r="AE2123" s="28"/>
      <c r="AF2123" s="28"/>
      <c r="AG2123" s="28"/>
      <c r="AL2123" s="28"/>
      <c r="AN2123" s="28"/>
      <c r="AO2123" s="28"/>
      <c r="AP2123" s="28"/>
      <c r="AU2123" s="28"/>
      <c r="AW2123" s="28"/>
      <c r="AX2123" s="28"/>
      <c r="AY2123" s="28"/>
      <c r="BD2123" s="28"/>
      <c r="BF2123" s="28"/>
      <c r="BG2123" s="28"/>
      <c r="BH2123" s="28"/>
      <c r="BM2123" s="28"/>
      <c r="BO2123" s="28"/>
      <c r="BP2123" s="28"/>
      <c r="BQ2123" s="28"/>
      <c r="BV2123" s="28"/>
      <c r="BX2123" s="28"/>
      <c r="BY2123" s="28"/>
      <c r="BZ2123" s="28"/>
      <c r="CE2123" s="28"/>
      <c r="CG2123" s="28"/>
      <c r="CH2123" s="28"/>
      <c r="CI2123" s="28"/>
      <c r="CN2123" s="28"/>
      <c r="CP2123" s="28"/>
      <c r="CQ2123" s="28"/>
      <c r="CR2123" s="28"/>
      <c r="CW2123" s="28"/>
      <c r="CY2123" s="28"/>
      <c r="CZ2123" s="28"/>
      <c r="DA2123" s="28"/>
      <c r="DF2123" s="28"/>
      <c r="DH2123" s="28"/>
      <c r="DI2123" s="28"/>
      <c r="DJ2123" s="28"/>
      <c r="DO2123" s="28"/>
      <c r="DQ2123" s="28"/>
      <c r="DR2123" s="28"/>
      <c r="DS2123" s="28"/>
      <c r="DX2123" s="28"/>
      <c r="DZ2123" s="28"/>
      <c r="EA2123" s="28"/>
      <c r="EB2123" s="28"/>
      <c r="EG2123" s="28"/>
      <c r="EI2123" s="28"/>
      <c r="EJ2123" s="28"/>
      <c r="EK2123" s="28"/>
      <c r="EP2123" s="28"/>
      <c r="ER2123" s="28"/>
      <c r="ES2123" s="28"/>
      <c r="ET2123" s="28"/>
      <c r="EY2123" s="28"/>
      <c r="FA2123" s="28"/>
      <c r="FB2123" s="28"/>
      <c r="FC2123" s="28"/>
      <c r="FH2123" s="28"/>
      <c r="FJ2123" s="28"/>
      <c r="FK2123" s="28"/>
      <c r="FL2123" s="28"/>
      <c r="FQ2123" s="28"/>
      <c r="FS2123" s="28"/>
      <c r="FT2123" s="28"/>
      <c r="FU2123" s="28"/>
      <c r="FZ2123" s="28"/>
      <c r="GB2123" s="28"/>
      <c r="GC2123" s="28"/>
      <c r="GD2123" s="28"/>
      <c r="GI2123" s="28"/>
      <c r="GK2123" s="28"/>
      <c r="GL2123" s="28"/>
      <c r="GM2123" s="28"/>
      <c r="GR2123" s="28"/>
      <c r="GT2123" s="28"/>
      <c r="GU2123" s="28"/>
      <c r="GV2123" s="28"/>
      <c r="HA2123" s="28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28"/>
      <c r="B2124" s="28"/>
      <c r="C2124" s="28"/>
      <c r="D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28"/>
      <c r="V2125" s="28"/>
      <c r="W2125" s="28"/>
      <c r="X2125" s="28"/>
      <c r="AC2125" s="28"/>
      <c r="AE2125" s="28"/>
      <c r="AF2125" s="28"/>
      <c r="AG2125" s="28"/>
      <c r="AL2125" s="28"/>
      <c r="AN2125" s="28"/>
      <c r="AO2125" s="28"/>
      <c r="AP2125" s="28"/>
      <c r="AU2125" s="28"/>
      <c r="AW2125" s="28"/>
      <c r="AX2125" s="28"/>
      <c r="AY2125" s="28"/>
      <c r="BD2125" s="28"/>
      <c r="BF2125" s="28"/>
      <c r="BG2125" s="28"/>
      <c r="BH2125" s="28"/>
      <c r="BM2125" s="28"/>
      <c r="BO2125" s="28"/>
      <c r="BP2125" s="28"/>
      <c r="BQ2125" s="28"/>
      <c r="BV2125" s="28"/>
      <c r="BX2125" s="28"/>
      <c r="BY2125" s="28"/>
      <c r="BZ2125" s="28"/>
      <c r="CE2125" s="28"/>
      <c r="CG2125" s="28"/>
      <c r="CH2125" s="28"/>
      <c r="CI2125" s="28"/>
      <c r="CN2125" s="28"/>
      <c r="CP2125" s="28"/>
      <c r="CQ2125" s="28"/>
      <c r="CR2125" s="28"/>
      <c r="CW2125" s="28"/>
      <c r="CY2125" s="28"/>
      <c r="CZ2125" s="28"/>
      <c r="DA2125" s="28"/>
      <c r="DF2125" s="28"/>
      <c r="DH2125" s="28"/>
      <c r="DI2125" s="28"/>
      <c r="DJ2125" s="28"/>
      <c r="DO2125" s="28"/>
      <c r="DQ2125" s="28"/>
      <c r="DR2125" s="28"/>
      <c r="DS2125" s="28"/>
      <c r="DX2125" s="28"/>
      <c r="DZ2125" s="28"/>
      <c r="EA2125" s="28"/>
      <c r="EB2125" s="28"/>
      <c r="EG2125" s="28"/>
      <c r="EI2125" s="28"/>
      <c r="EJ2125" s="28"/>
      <c r="EK2125" s="28"/>
      <c r="EP2125" s="28"/>
      <c r="ER2125" s="28"/>
      <c r="ES2125" s="28"/>
      <c r="ET2125" s="28"/>
      <c r="EY2125" s="28"/>
      <c r="FA2125" s="28"/>
      <c r="FB2125" s="28"/>
      <c r="FC2125" s="28"/>
      <c r="FH2125" s="28"/>
      <c r="FJ2125" s="28"/>
      <c r="FK2125" s="28"/>
      <c r="FL2125" s="28"/>
      <c r="FQ2125" s="28"/>
      <c r="FS2125" s="28"/>
      <c r="FT2125" s="28"/>
      <c r="FU2125" s="28"/>
      <c r="FZ2125" s="28"/>
      <c r="GB2125" s="28"/>
      <c r="GC2125" s="28"/>
      <c r="GD2125" s="28"/>
      <c r="GI2125" s="28"/>
      <c r="GK2125" s="28"/>
      <c r="GL2125" s="28"/>
      <c r="GM2125" s="28"/>
      <c r="GR2125" s="28"/>
      <c r="GT2125" s="28"/>
      <c r="GU2125" s="28"/>
      <c r="GV2125" s="28"/>
      <c r="HA2125" s="28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28"/>
      <c r="B2129" s="28"/>
      <c r="C2129" s="28"/>
      <c r="D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28"/>
      <c r="B2131" s="28"/>
      <c r="C2131" s="28"/>
      <c r="D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28"/>
      <c r="B2133" s="28"/>
      <c r="C2133" s="28"/>
      <c r="D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B2271" s="28"/>
      <c r="C2271" s="28"/>
      <c r="E2271" s="28"/>
      <c r="F2271" s="10"/>
      <c r="G2271" s="228"/>
      <c r="H2271" s="228"/>
      <c r="I2271" s="28"/>
      <c r="J2271" s="28"/>
      <c r="K2271" s="28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 s="136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1"/>
      <c r="B2344"/>
      <c r="C2344"/>
      <c r="D2344"/>
      <c r="E2344" s="1"/>
      <c r="F2344" s="1"/>
      <c r="G2344" s="1"/>
      <c r="H2344" s="1"/>
      <c r="I2344" s="2"/>
      <c r="J2344" s="1"/>
      <c r="K2344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1"/>
      <c r="B2345"/>
      <c r="C2345"/>
      <c r="D2345"/>
      <c r="E2345" s="1"/>
      <c r="F2345" s="1"/>
      <c r="G2345" s="1"/>
      <c r="H2345" s="1"/>
      <c r="I2345" s="2"/>
      <c r="J2345" s="1"/>
      <c r="K2345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1"/>
      <c r="B2346"/>
      <c r="C2346"/>
      <c r="D2346"/>
      <c r="E2346" s="1"/>
      <c r="F2346" s="1"/>
      <c r="G2346" s="1"/>
      <c r="H2346" s="1"/>
      <c r="I2346" s="2"/>
      <c r="J2346" s="1"/>
      <c r="K2346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1"/>
      <c r="B2347"/>
      <c r="C2347"/>
      <c r="D2347"/>
      <c r="E2347" s="1"/>
      <c r="F2347" s="1"/>
      <c r="G2347" s="1"/>
      <c r="H2347" s="1"/>
      <c r="I2347" s="2"/>
      <c r="J2347" s="1"/>
      <c r="K2347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1"/>
      <c r="B2348"/>
      <c r="C2348"/>
      <c r="D2348"/>
      <c r="E2348" s="1"/>
      <c r="F2348" s="1"/>
      <c r="G2348" s="1"/>
      <c r="H2348" s="1"/>
      <c r="I2348" s="2"/>
      <c r="J2348" s="1"/>
      <c r="K2348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1"/>
      <c r="B2349"/>
      <c r="C2349"/>
      <c r="D2349"/>
      <c r="E2349" s="1"/>
      <c r="F2349" s="1"/>
      <c r="G2349" s="1"/>
      <c r="H2349" s="1"/>
      <c r="I2349" s="2"/>
      <c r="J2349" s="1"/>
      <c r="K2349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1"/>
      <c r="B2350"/>
      <c r="C2350"/>
      <c r="D2350"/>
      <c r="E2350" s="1"/>
      <c r="F2350" s="1"/>
      <c r="G2350" s="1"/>
      <c r="H2350" s="1"/>
      <c r="I2350" s="2"/>
      <c r="J2350" s="1"/>
      <c r="K2350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1"/>
      <c r="B2351"/>
      <c r="C2351"/>
      <c r="D2351"/>
      <c r="E2351" s="1"/>
      <c r="F2351" s="1"/>
      <c r="G2351" s="1"/>
      <c r="H2351" s="1"/>
      <c r="I2351" s="2"/>
      <c r="J2351" s="1"/>
      <c r="K235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1"/>
      <c r="B2352"/>
      <c r="C2352"/>
      <c r="D2352"/>
      <c r="E2352" s="1"/>
      <c r="F2352" s="1"/>
      <c r="G2352" s="1"/>
      <c r="H2352" s="1"/>
      <c r="I2352" s="2"/>
      <c r="J2352" s="1"/>
      <c r="K2352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1"/>
      <c r="B2353"/>
      <c r="C2353"/>
      <c r="D2353"/>
      <c r="E2353" s="1"/>
      <c r="F2353" s="1"/>
      <c r="G2353" s="1"/>
      <c r="H2353" s="1"/>
      <c r="I2353" s="2"/>
      <c r="J2353" s="1"/>
      <c r="K2353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1"/>
      <c r="B2354"/>
      <c r="C2354"/>
      <c r="D2354"/>
      <c r="E2354" s="1"/>
      <c r="F2354" s="1"/>
      <c r="G2354" s="1"/>
      <c r="H2354" s="1"/>
      <c r="I2354" s="2"/>
      <c r="J2354" s="1"/>
      <c r="K2354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1"/>
      <c r="B2355"/>
      <c r="C2355"/>
      <c r="D2355"/>
      <c r="E2355" s="1"/>
      <c r="F2355" s="1"/>
      <c r="G2355" s="1"/>
      <c r="H2355" s="1"/>
      <c r="I2355" s="2"/>
      <c r="J2355" s="1"/>
      <c r="K2355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1"/>
      <c r="B2356"/>
      <c r="C2356"/>
      <c r="D2356"/>
      <c r="E2356" s="1"/>
      <c r="F2356" s="1"/>
      <c r="G2356" s="1"/>
      <c r="H2356" s="1"/>
      <c r="I2356" s="2"/>
      <c r="J2356" s="1"/>
      <c r="K2356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1"/>
      <c r="B2357"/>
      <c r="C2357"/>
      <c r="D2357"/>
      <c r="E2357" s="1"/>
      <c r="F2357" s="1"/>
      <c r="G2357" s="1"/>
      <c r="H2357" s="1"/>
      <c r="I2357" s="2"/>
      <c r="J2357" s="1"/>
      <c r="K2357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1"/>
      <c r="B2358"/>
      <c r="C2358"/>
      <c r="D2358"/>
      <c r="E2358" s="1"/>
      <c r="F2358" s="1"/>
      <c r="G2358" s="1"/>
      <c r="H2358" s="1"/>
      <c r="I2358" s="2"/>
      <c r="J2358" s="1"/>
      <c r="K2358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1"/>
      <c r="B2359"/>
      <c r="C2359"/>
      <c r="D2359"/>
      <c r="E2359" s="1"/>
      <c r="F2359" s="1"/>
      <c r="G2359" s="1"/>
      <c r="H2359" s="1"/>
      <c r="I2359" s="2"/>
      <c r="J2359" s="1"/>
      <c r="K2359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1"/>
      <c r="B2360"/>
      <c r="C2360"/>
      <c r="D2360"/>
      <c r="E2360" s="1"/>
      <c r="F2360" s="1"/>
      <c r="G2360" s="1"/>
      <c r="H2360" s="1"/>
      <c r="I2360" s="2"/>
      <c r="J2360" s="1"/>
      <c r="K2360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1"/>
      <c r="B2361"/>
      <c r="C2361"/>
      <c r="D2361"/>
      <c r="E2361" s="1"/>
      <c r="F2361" s="1"/>
      <c r="G2361" s="1"/>
      <c r="H2361" s="1"/>
      <c r="I2361" s="2"/>
      <c r="J2361" s="1"/>
      <c r="K236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1"/>
      <c r="B2362"/>
      <c r="C2362"/>
      <c r="D2362"/>
      <c r="E2362" s="1"/>
      <c r="F2362" s="1"/>
      <c r="G2362" s="1"/>
      <c r="H2362" s="1"/>
      <c r="I2362" s="2"/>
      <c r="J2362" s="1"/>
      <c r="K2362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1"/>
      <c r="B2363"/>
      <c r="C2363"/>
      <c r="D2363"/>
      <c r="E2363" s="1"/>
      <c r="F2363" s="1"/>
      <c r="G2363" s="1"/>
      <c r="H2363" s="1"/>
      <c r="I2363" s="2"/>
      <c r="J2363" s="1"/>
      <c r="K2363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1"/>
      <c r="B2364"/>
      <c r="C2364"/>
      <c r="D2364"/>
      <c r="E2364" s="1"/>
      <c r="F2364" s="1"/>
      <c r="G2364" s="1"/>
      <c r="H2364" s="1"/>
      <c r="I2364" s="2"/>
      <c r="J2364" s="1"/>
      <c r="K2364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1"/>
      <c r="B2365"/>
      <c r="C2365"/>
      <c r="D2365"/>
      <c r="E2365" s="1"/>
      <c r="F2365" s="1"/>
      <c r="G2365" s="1"/>
      <c r="H2365" s="1"/>
      <c r="I2365" s="2"/>
      <c r="J2365" s="1"/>
      <c r="K2365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1"/>
      <c r="B2366"/>
      <c r="C2366"/>
      <c r="D2366"/>
      <c r="E2366" s="1"/>
      <c r="F2366" s="1"/>
      <c r="G2366" s="1"/>
      <c r="H2366" s="1"/>
      <c r="I2366" s="2"/>
      <c r="J2366" s="1"/>
      <c r="K2366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1"/>
      <c r="B2367"/>
      <c r="C2367"/>
      <c r="D2367"/>
      <c r="E2367" s="1"/>
      <c r="F2367" s="1"/>
      <c r="G2367" s="1"/>
      <c r="H2367" s="1"/>
      <c r="I2367" s="2"/>
      <c r="J2367" s="1"/>
      <c r="K2367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1"/>
      <c r="B2368"/>
      <c r="C2368"/>
      <c r="D2368"/>
      <c r="E2368" s="1"/>
      <c r="F2368" s="1"/>
      <c r="G2368" s="1"/>
      <c r="H2368" s="1"/>
      <c r="I2368" s="2"/>
      <c r="J2368" s="1"/>
      <c r="K2368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1"/>
      <c r="B2369"/>
      <c r="C2369"/>
      <c r="D2369"/>
      <c r="E2369" s="1"/>
      <c r="F2369" s="1"/>
      <c r="G2369" s="1"/>
      <c r="H2369" s="1"/>
      <c r="I2369" s="2"/>
      <c r="J2369" s="1"/>
      <c r="K2369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1"/>
      <c r="B2370"/>
      <c r="C2370"/>
      <c r="D2370"/>
      <c r="E2370" s="1"/>
      <c r="F2370" s="1"/>
      <c r="G2370" s="1"/>
      <c r="H2370" s="1"/>
      <c r="I2370" s="2"/>
      <c r="J2370" s="1"/>
      <c r="K2370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1"/>
      <c r="B2371"/>
      <c r="C2371"/>
      <c r="D2371"/>
      <c r="E2371" s="1"/>
      <c r="F2371" s="1"/>
      <c r="G2371" s="1"/>
      <c r="H2371" s="1"/>
      <c r="I2371" s="2"/>
      <c r="J2371" s="1"/>
      <c r="K237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1"/>
      <c r="B2372"/>
      <c r="C2372"/>
      <c r="D2372"/>
      <c r="E2372" s="1"/>
      <c r="F2372" s="1"/>
      <c r="G2372" s="1"/>
      <c r="H2372" s="1"/>
      <c r="I2372" s="2"/>
      <c r="J2372" s="1"/>
      <c r="K2372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1"/>
      <c r="B2373"/>
      <c r="C2373"/>
      <c r="D2373"/>
      <c r="E2373" s="1"/>
      <c r="F2373" s="1"/>
      <c r="G2373" s="1"/>
      <c r="H2373" s="1"/>
      <c r="I2373" s="2"/>
      <c r="J2373" s="1"/>
      <c r="K2373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1"/>
      <c r="B2374"/>
      <c r="C2374"/>
      <c r="D2374"/>
      <c r="E2374" s="1"/>
      <c r="F2374" s="1"/>
      <c r="G2374" s="1"/>
      <c r="H2374" s="1"/>
      <c r="I2374" s="2"/>
      <c r="J2374" s="1"/>
      <c r="K2374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1"/>
      <c r="B2375"/>
      <c r="C2375"/>
      <c r="D2375"/>
      <c r="E2375" s="1"/>
      <c r="F2375" s="1"/>
      <c r="G2375" s="1"/>
      <c r="H2375" s="1"/>
      <c r="I2375" s="2"/>
      <c r="J2375" s="1"/>
      <c r="K2375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1"/>
      <c r="B2376"/>
      <c r="C2376"/>
      <c r="D2376"/>
      <c r="E2376" s="1"/>
      <c r="F2376" s="1"/>
      <c r="G2376" s="1"/>
      <c r="H2376" s="1"/>
      <c r="I2376" s="2"/>
      <c r="J2376" s="1"/>
      <c r="K2376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1"/>
      <c r="B2377"/>
      <c r="C2377"/>
      <c r="D2377"/>
      <c r="E2377" s="1"/>
      <c r="F2377" s="1"/>
      <c r="G2377" s="1"/>
      <c r="H2377" s="1"/>
      <c r="I2377" s="2"/>
      <c r="J2377" s="1"/>
      <c r="K2377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1"/>
      <c r="B2378"/>
      <c r="C2378"/>
      <c r="D2378"/>
      <c r="E2378" s="1"/>
      <c r="F2378" s="1"/>
      <c r="G2378" s="1"/>
      <c r="H2378" s="1"/>
      <c r="I2378" s="2"/>
      <c r="J2378" s="1"/>
      <c r="K2378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1"/>
      <c r="B2379"/>
      <c r="C2379"/>
      <c r="D2379"/>
      <c r="E2379" s="1"/>
      <c r="F2379" s="1"/>
      <c r="G2379" s="1"/>
      <c r="H2379" s="1"/>
      <c r="I2379" s="2"/>
      <c r="J2379" s="1"/>
      <c r="K2379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1"/>
      <c r="B2380"/>
      <c r="C2380"/>
      <c r="D2380"/>
      <c r="E2380" s="1"/>
      <c r="F2380" s="1"/>
      <c r="G2380" s="1"/>
      <c r="H2380" s="1"/>
      <c r="I2380" s="2"/>
      <c r="J2380" s="1"/>
      <c r="K2380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1"/>
      <c r="B2381"/>
      <c r="C2381"/>
      <c r="D2381"/>
      <c r="E2381" s="1"/>
      <c r="F2381" s="1"/>
      <c r="G2381" s="1"/>
      <c r="H2381" s="1"/>
      <c r="I2381" s="2"/>
      <c r="J2381" s="1"/>
      <c r="K238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1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1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56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56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56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56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56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56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56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</sheetData>
  <sortState xmlns:xlrd2="http://schemas.microsoft.com/office/spreadsheetml/2017/richdata2" ref="AT391:AV490">
    <sortCondition descending="1" ref="AV391:AV490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6" location="Punten!DC582" display="UCI-12" xr:uid="{00000000-0004-0000-0000-000004000000}"/>
    <hyperlink ref="D50" location="Punten!GO582" display="UCI-22" xr:uid="{00000000-0004-0000-0000-000005000000}"/>
    <hyperlink ref="D28" location="Punten!EV582" display="UCI-17" xr:uid="{00000000-0004-0000-0000-000006000000}"/>
    <hyperlink ref="D14" location="Punten!BS582" display="UCI-08" xr:uid="{00000000-0004-0000-0000-000007000000}"/>
    <hyperlink ref="D12" location="Punten!LB582" display="UCI-35" xr:uid="{00000000-0004-0000-0000-000008000000}"/>
    <hyperlink ref="D78" location="Punten!IZ582" display="UCI-29" xr:uid="{00000000-0004-0000-0000-000009000000}"/>
    <hyperlink ref="D56" location="Punten!DL582" display="UCI-13" xr:uid="{00000000-0004-0000-0000-00000A000000}"/>
    <hyperlink ref="D20" location="Punten!PF582" display="UCI-47" xr:uid="{00000000-0004-0000-0000-00000C000000}"/>
    <hyperlink ref="D48" location="Punten!JI582" display="UCI-30" xr:uid="{00000000-0004-0000-0000-00000D000000}"/>
    <hyperlink ref="D39" location="Punten!CB582" display="UCI-09" xr:uid="{00000000-0004-0000-0000-00000E000000}"/>
    <hyperlink ref="D24" location="Punten!DU582" display="UCI-14" xr:uid="{00000000-0004-0000-0000-00000F000000}"/>
    <hyperlink ref="D41" location="Punten!GX582" display="UCI-23" xr:uid="{00000000-0004-0000-0000-000010000000}"/>
    <hyperlink ref="D3" location="Punten!RZ582" display="UCI-55" xr:uid="{00000000-0004-0000-0000-000011000000}"/>
    <hyperlink ref="D18" location="Punten!HP582" display="UCI-25" xr:uid="{00000000-0004-0000-0000-000012000000}"/>
    <hyperlink ref="D22" location="Punten!RH582" display="UCI-53" xr:uid="{00000000-0004-0000-0000-000013000000}"/>
    <hyperlink ref="D34" location="Punten!Q582" display="UCI-02" xr:uid="{00000000-0004-0000-0000-000014000000}"/>
    <hyperlink ref="D91" location="Punten!NM582" display="UCI-42" xr:uid="{00000000-0004-0000-0000-000015000000}"/>
    <hyperlink ref="D90" location="Punten!VC582" display="UCI-64" xr:uid="{00000000-0004-0000-0000-000016000000}"/>
    <hyperlink ref="D58" location="Punten!AI582" display="UCI-04" xr:uid="{00000000-0004-0000-0000-000017000000}"/>
    <hyperlink ref="D4" location="Punten!AR582" display="UCI-05" xr:uid="{00000000-0004-0000-0000-000018000000}"/>
    <hyperlink ref="D38" location="Punten!KA582" display="UCI-32" xr:uid="{00000000-0004-0000-0000-000019000000}"/>
    <hyperlink ref="D83" location="Punten!EM582" display="UCI-16" xr:uid="{00000000-0004-0000-0000-00001A000000}"/>
    <hyperlink ref="D47" location="Punten!ND582" display="UCI-41" xr:uid="{00000000-0004-0000-0000-00001B000000}"/>
    <hyperlink ref="D62" location="Punten!CT582" display="UCI-11" xr:uid="{00000000-0004-0000-0000-00001C000000}"/>
    <hyperlink ref="D98" location="Punten!OW582" display="UCI-46" xr:uid="{00000000-0004-0000-0000-00001D000000}"/>
    <hyperlink ref="D63" location="Punten!LK582" display="UCI-36" xr:uid="{00000000-0004-0000-0000-00001E000000}"/>
    <hyperlink ref="D46" location="Punten!BA582" display="UCI-06" xr:uid="{00000000-0004-0000-0000-00001F000000}"/>
    <hyperlink ref="D8" location="Punten!FW582" display="UCI-20" xr:uid="{00000000-0004-0000-0000-000021000000}"/>
    <hyperlink ref="D80" location="Punten!NV582" display="UCI-43" xr:uid="{00000000-0004-0000-0000-000022000000}"/>
    <hyperlink ref="D61" location="Punten!GF582" display="UCI-21" xr:uid="{00000000-0004-0000-0000-000023000000}"/>
    <hyperlink ref="D32" location="Punten!Z582" display="UCI-03" xr:uid="{00000000-0004-0000-0000-000024000000}"/>
    <hyperlink ref="D23" location="Punten!IQ582" display="UCI-28" xr:uid="{00000000-0004-0000-0000-000025000000}"/>
    <hyperlink ref="D53" location="Punten!ON582" display="UCI-45" xr:uid="{00000000-0004-0000-0000-000026000000}"/>
    <hyperlink ref="D40" location="Punten!TJ582" display="UCI-59" xr:uid="{00000000-0004-0000-0000-000027000000}"/>
    <hyperlink ref="D89" location="Punten!JR582" display="UCI-31" xr:uid="{00000000-0004-0000-0000-000028000000}"/>
    <hyperlink ref="D54" location="Punten!BJ582" display="UCI-07" xr:uid="{00000000-0004-0000-0000-000029000000}"/>
    <hyperlink ref="D84" location="Punten!TS582" display="UCI-60" xr:uid="{00000000-0004-0000-0000-00002A000000}"/>
    <hyperlink ref="D64" location="Punten!KS582" display="UCI-34" xr:uid="{00000000-0004-0000-0000-00002B000000}"/>
    <hyperlink ref="D100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5" location="Punten!SI582" display="UCI-56" xr:uid="{00000000-0004-0000-0000-000029050000}"/>
    <hyperlink ref="D85" location="Punten!QG582" display="UCI-50" xr:uid="{00000000-0004-0000-0000-00002A050000}"/>
    <hyperlink ref="D49" location="Punten!HG582" display="UCI-24" xr:uid="{00000000-0004-0000-0000-00002B050000}"/>
    <hyperlink ref="D97" location="Punten!VU582" display="UCI-66" xr:uid="{00000000-0004-0000-0000-00002C050000}"/>
    <hyperlink ref="D31" location="Punten!SR582" display="UCI-57" xr:uid="{00000000-0004-0000-0000-00002D050000}"/>
    <hyperlink ref="D102" location="Punten!OE582" display="UCI-44" xr:uid="{00000000-0004-0000-0000-00002E050000}"/>
    <hyperlink ref="D44" location="Punten!HY582" display="UCI-26" xr:uid="{00000000-0004-0000-0000-00002F050000}"/>
    <hyperlink ref="D99" location="Punten!TA582" display="UCI-58" xr:uid="{00000000-0004-0000-0000-000030050000}"/>
    <hyperlink ref="D60" location="Punten!PO582" display="UCI-48" xr:uid="{00000000-0004-0000-0000-000031050000}"/>
    <hyperlink ref="D66" location="Punten!MU582" display="UCI-40" xr:uid="{00000000-0004-0000-0000-000032050000}"/>
    <hyperlink ref="D11" location="Punten!LT582" display="UCI-37" xr:uid="{00000000-0004-0000-0000-000033050000}"/>
    <hyperlink ref="D77" location="Punten!MC582" display="UCI-38" xr:uid="{00000000-0004-0000-0000-000034050000}"/>
    <hyperlink ref="D43" location="Punten!KJ582" display="UCI-33" xr:uid="{00000000-0004-0000-0000-000035050000}"/>
    <hyperlink ref="D7" location="Punten!ML582" display="UCI-39" xr:uid="{00000000-0004-0000-0000-000036050000}"/>
    <hyperlink ref="D36" location="Punten!FN582" display="UCI-19" xr:uid="{00000000-0004-0000-0000-000037050000}"/>
    <hyperlink ref="D19" location="Punten!CK582" display="UCI-10" xr:uid="{00000000-0004-0000-0000-000046050000}"/>
    <hyperlink ref="D21" location="Punten!H582" display="UCI-01" xr:uid="{00000000-0004-0000-0000-0000C2050000}"/>
    <hyperlink ref="D57" location="Punten!XW582" display="UCI-72" xr:uid="{00000000-0004-0000-0000-0000D9050000}"/>
    <hyperlink ref="D16" location="Punten!YF582" display="UCI-73" xr:uid="{00000000-0004-0000-0000-0000DA050000}"/>
    <hyperlink ref="D17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25" location="Punten!QP582" display="UCI-51" xr:uid="{00000000-0004-0000-0000-0000F7050000}"/>
    <hyperlink ref="D52" location="Punten!QY582" display="UCI-52" xr:uid="{00000000-0004-0000-0000-0000F8050000}"/>
    <hyperlink ref="D79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26" location="Punten!FE582" display="UCI-18" xr:uid="{BAB98747-53C1-4E6A-AF45-A7D5E5F3BBF2}"/>
    <hyperlink ref="D72" location="Punten!UB582" display="UCI-61" xr:uid="{C945E37D-0FA5-45D5-B166-64BCBBEE4B4E}"/>
    <hyperlink ref="D86" location="Punten!UT582" display="UCI-63" xr:uid="{509110C5-146E-43E7-AEA6-1BB86EC59E8C}"/>
    <hyperlink ref="D71" location="Punten!VL582" display="UCI-65" xr:uid="{1C569240-A9D1-4D34-8FB3-31AE64ADC804}"/>
    <hyperlink ref="D76" location="Punten!XN582" display="UCI-71" xr:uid="{6B63524C-438C-4A8F-A210-CBFA78FD37DC}"/>
    <hyperlink ref="D27" location="Punten!ZG582" display="UCI-76" xr:uid="{523DAD05-3D31-4485-95CE-7C40B6717562}"/>
    <hyperlink ref="D73" location="Punten!ZY582" display="UCI-78" xr:uid="{8A13D55E-B505-48AC-9CDD-1DA0A1F9F7E4}"/>
    <hyperlink ref="D96" location="Punten!AAH582" display="UCI-79" xr:uid="{CA42BAE4-605A-4F2F-BCB5-0A87F322CE0F}"/>
    <hyperlink ref="D87" location="Punten!AAQ582" display="UCI-80" xr:uid="{9E6AF960-FB27-4B0B-9FEE-9EC6A20ACE8F}"/>
    <hyperlink ref="D92" location="Punten!AAZ582" display="UCI-81" xr:uid="{906BBA93-1845-4F9A-A4FB-BCCD0AC310EC}"/>
    <hyperlink ref="D101" location="Punten!ABR582" display="UCI-83" xr:uid="{9F747C85-1792-4E69-B04B-05A333AC3E2B}"/>
    <hyperlink ref="D88" location="Punten!ACA582" display="UCI-84" xr:uid="{6379C6B1-8B77-4F88-9A87-2301CCE544B8}"/>
    <hyperlink ref="D94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55" location="Punten!AHX582" display="UCI-101" xr:uid="{D844606C-4979-41D2-BDC7-FA3983B91713}"/>
    <hyperlink ref="D95" location="Punten!AIG582" display="UCI-102" xr:uid="{0887E061-08B5-4BFD-9FA1-DE6CEFFB2D6C}"/>
    <hyperlink ref="D81" location="Punten!AIP582" display="UCI-103" xr:uid="{F37B88FA-B6C3-48EB-8FB6-95A797834718}"/>
    <hyperlink ref="D37" location="Punten!AIY582" display="UCI-104" xr:uid="{AFD4B3CC-74F8-41FC-B30C-5C706F233B7F}"/>
    <hyperlink ref="D74" location="Punten!AJH582" display="UCI-105" xr:uid="{92AEBFB8-4A95-45A8-B1DD-F63A47757BE1}"/>
    <hyperlink ref="D33" location="Punten!AJQ582" display="UCI-106" xr:uid="{F09E483B-6E79-4FDE-800C-FA01B3576127}"/>
    <hyperlink ref="D69" location="Punten!AJZ582" display="UCI-107" xr:uid="{E21ACE0A-1AF7-4D9F-ACF0-133751517E26}"/>
    <hyperlink ref="D29" location="Punten!AKI582" display="UCI-108" xr:uid="{8807D996-ECF9-4703-ABDD-E62FA077D40F}"/>
    <hyperlink ref="D15" location="Punten!AKR582" display="UCI-109" xr:uid="{EB153423-013E-4298-91B8-787C1251F699}"/>
    <hyperlink ref="D93" location="Punten!ALA582" display="UCI-110" xr:uid="{3F89FF7E-2218-4798-91A7-5EF4DE342023}"/>
    <hyperlink ref="D75" location="Punten!ALJ582" display="UCI-111" xr:uid="{9BF4EE4D-B886-4E96-85F1-C8A8F98792E1}"/>
    <hyperlink ref="D82" location="Punten!ALS582" display="UCI-112" xr:uid="{A7FAE02D-2A3E-4601-B4FB-FC6AE782EBC6}"/>
    <hyperlink ref="D68" location="Punten!AMB582" display="UCI-113" xr:uid="{19DF0B02-7B37-4E40-9255-307B7486FE41}"/>
    <hyperlink ref="D70" location="Punten!AMK582" display="UCI-114" xr:uid="{A5272299-819D-4B39-B9EB-08F6AEF70F0D}"/>
    <hyperlink ref="D59" location="Punten!AMT582" display="UCI-115" xr:uid="{8F19AF1D-086E-409C-BBB4-A6BDB7A5263A}"/>
    <hyperlink ref="D13" location="Punten!ANC582" display="UCI-116" xr:uid="{7EB04B9A-7AD8-44E4-98CB-2D7E9F96FE2B}"/>
    <hyperlink ref="D45" location="Punten!ANL582" display="UCI-117" xr:uid="{CDE59F7B-5CB5-461A-9ED0-F0427C447715}"/>
    <hyperlink ref="D35" location="Punten!ANU582" display="UCI-118" xr:uid="{B48C8225-1F05-414B-86A3-B39DF85C74E2}"/>
    <hyperlink ref="D67" location="Punten!AOD582" display="UCI-119" xr:uid="{A5F2E425-AA54-4608-9138-41775AC73617}"/>
    <hyperlink ref="D9" location="Punten!AOM582" display="UCI-120" xr:uid="{44DDAFD4-4015-46A7-BFC3-8AD9E700CD1B}"/>
    <hyperlink ref="D10" location="Punten!AOV582" display="UCI-121" xr:uid="{5C111DA0-2E10-4C9F-BB6C-3D52F783EC9B}"/>
    <hyperlink ref="D42" location="Punten!APE582" display="UCI-122" xr:uid="{7A91D3FD-3334-4714-8E8D-F2A8CE7D9C42}"/>
    <hyperlink ref="D65" location="Punten!APN582" display="UCI-123" xr:uid="{BF43CC5F-5FBF-4204-ADA4-44D3AE6BECCC}"/>
    <hyperlink ref="D51" location="Punten!APW582" display="UCI-124" xr:uid="{AC0BC2D1-548A-4D6B-99C4-A5278BA6DAA9}"/>
    <hyperlink ref="D30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0" location="Punten!DC582" display="UCI-12" xr:uid="{51D4A50C-1252-4BF2-987C-BDBD8523D726}"/>
    <hyperlink ref="M177" location="Punten!GO582" display="UCI-22" xr:uid="{A7AB185E-F853-4633-930D-23300DC1478F}"/>
    <hyperlink ref="M119" location="Punten!EV582" display="UCI-17" xr:uid="{3E99FEF5-0B43-477B-AD36-D64B8EE47F14}"/>
    <hyperlink ref="M127" location="Punten!BS582" display="UCI-08" xr:uid="{E62EBC28-8B40-4CAE-BFC3-7286E8249D84}"/>
    <hyperlink ref="M168" location="Punten!LB582" display="UCI-35" xr:uid="{FCC3FBDE-2F37-4473-A147-E5A4751526D1}"/>
    <hyperlink ref="M126" location="Punten!IZ582" display="UCI-29" xr:uid="{471D9061-A208-4FE0-880F-1C89674581E5}"/>
    <hyperlink ref="M171" location="Punten!DL582" display="UCI-13" xr:uid="{77C5DB06-3847-45FF-8103-AF200A61BBE3}"/>
    <hyperlink ref="M139" location="Punten!PF582" display="UCI-47" xr:uid="{A91096FE-28F3-40BA-9979-92BCBF27902C}"/>
    <hyperlink ref="M151" location="Punten!JI582" display="UCI-30" xr:uid="{5744BA91-4CC5-47EE-AE50-80BC69E69743}"/>
    <hyperlink ref="M156" location="Punten!CB582" display="UCI-09" xr:uid="{DF9236DC-BB46-436C-9213-6F07446E7FFB}"/>
    <hyperlink ref="M140" location="Punten!DU582" display="UCI-14" xr:uid="{A8B339B9-4BD3-4FCA-84CB-02BCF36F7433}"/>
    <hyperlink ref="M161" location="Punten!GX582" display="UCI-23" xr:uid="{6C4C731C-F6C7-4C56-951F-C5AA2E9C0C4E}"/>
    <hyperlink ref="M122" location="Punten!RZ582" display="UCI-55" xr:uid="{AF1593EE-AEE6-4932-B675-6E71DCB852E0}"/>
    <hyperlink ref="M125" location="Punten!HP582" display="UCI-25" xr:uid="{DABF0C30-B6C4-43F1-8637-B7FCA74370E4}"/>
    <hyperlink ref="M132" location="Punten!RH582" display="UCI-53" xr:uid="{56CD3F30-8AD2-4867-9B03-E32699ED0F4A}"/>
    <hyperlink ref="M157" location="Punten!Q582" display="UCI-02" xr:uid="{E29C88AA-6BC9-4CE1-9665-3900CFD309FE}"/>
    <hyperlink ref="M183" location="Punten!NM582" display="UCI-42" xr:uid="{57E9386D-C04F-4DE9-A1F0-8A62B36F1796}"/>
    <hyperlink ref="M203" location="Punten!VC582" display="UCI-64" xr:uid="{341D97A3-3564-46F8-822B-D617F81FD0BA}"/>
    <hyperlink ref="M194" location="Punten!AI582" display="UCI-04" xr:uid="{97E8C1E2-0022-4028-AAEE-117C77C54756}"/>
    <hyperlink ref="M145" location="Punten!AR582" display="UCI-05" xr:uid="{A61533E3-1BF3-4B45-BFEE-8396D796D020}"/>
    <hyperlink ref="M129" location="Punten!KA582" display="UCI-32" xr:uid="{9F78F17E-8552-428E-AC8D-61A68872C377}"/>
    <hyperlink ref="M195" location="Punten!EM582" display="UCI-16" xr:uid="{51457CAB-C2E6-4C87-87DD-30AD4FD7D2D0}"/>
    <hyperlink ref="M190" location="Punten!ND582" display="UCI-41" xr:uid="{3AC60846-CBFA-4A37-9A11-40B23782E9CE}"/>
    <hyperlink ref="M138" location="Punten!CT582" display="UCI-11" xr:uid="{71E4E4DB-86B8-42F6-A690-71E1175E1913}"/>
    <hyperlink ref="M188" location="Punten!OW582" display="UCI-46" xr:uid="{20B456F2-7E24-495C-BB05-5FDFDB88672D}"/>
    <hyperlink ref="M186" location="Punten!LK582" display="UCI-36" xr:uid="{B1150F61-BD63-4BF5-B23F-92AE8CF1399C}"/>
    <hyperlink ref="M124" location="Punten!BA582" display="UCI-06" xr:uid="{9AD69652-D304-4642-9D17-7581D56A04FB}"/>
    <hyperlink ref="M149" location="Punten!FW582" display="UCI-20" xr:uid="{7DAFBF85-EE80-47BB-95D5-113D1538F5A0}"/>
    <hyperlink ref="M209" location="Punten!NV582" display="UCI-43" xr:uid="{0FFD98E3-8E38-4730-B0C1-EA78814979E3}"/>
    <hyperlink ref="M185" location="Punten!GF582" display="UCI-21" xr:uid="{4D85D003-47B4-4683-A114-64CD7DED34CB}"/>
    <hyperlink ref="M134" location="Punten!Z582" display="UCI-03" xr:uid="{70729D5C-349F-4C7E-8546-9FA3508D6691}"/>
    <hyperlink ref="M131" location="Punten!IQ582" display="UCI-28" xr:uid="{C0B018B3-4A3A-4AA9-BDAA-8A259D1D89F8}"/>
    <hyperlink ref="M179" location="Punten!ON582" display="UCI-45" xr:uid="{0B5A7497-7E73-40D3-B67D-1B44137A298F}"/>
    <hyperlink ref="M184" location="Punten!TJ582" display="UCI-59" xr:uid="{F9B3A793-5192-4BA8-9F1E-72D4AFB15A7D}"/>
    <hyperlink ref="M176" location="Punten!JR582" display="UCI-31" xr:uid="{C81D9BBE-9A5C-48F3-B26D-BA78642C4309}"/>
    <hyperlink ref="M144" location="Punten!BJ582" display="UCI-07" xr:uid="{DFCEF8F8-BA06-455F-B4A9-BFFF7B62D33F}"/>
    <hyperlink ref="M175" location="Punten!TS582" display="UCI-60" xr:uid="{EBD2D063-48B6-487B-8195-5CE2EDABD353}"/>
    <hyperlink ref="M167" location="Punten!KS582" display="UCI-34" xr:uid="{E9263BE8-9D00-444C-8476-0AF861EFFC30}"/>
    <hyperlink ref="M210" location="Punten!WM582" display="UCI-68" xr:uid="{CD7B6BBE-C282-463F-AF8B-D576091DDCF9}"/>
    <hyperlink ref="M123" location="Punten!SI582" display="UCI-56" xr:uid="{E7776EDD-6432-4FBE-A16D-B1E4FEE9E29C}"/>
    <hyperlink ref="M212" location="Punten!QG582" display="UCI-50" xr:uid="{CFC68850-F177-4CDB-BCFD-72626A894B83}"/>
    <hyperlink ref="M180" location="Punten!HG582" display="UCI-24" xr:uid="{0ABA64CA-9CD9-44E1-A7A1-23EDFB33AB6B}"/>
    <hyperlink ref="M198" location="Punten!VU582" display="UCI-66" xr:uid="{F951EFA3-9481-4D8E-863A-FD6AF916396E}"/>
    <hyperlink ref="M128" location="Punten!SR582" display="UCI-57" xr:uid="{84973DD8-A82A-403B-8F4C-02A5BD0D0C40}"/>
    <hyperlink ref="M214" location="Punten!OE582" display="UCI-44" xr:uid="{82DC3F11-0A31-4FAD-8A6E-19C2A6141D8D}"/>
    <hyperlink ref="M182" location="Punten!HY582" display="UCI-26" xr:uid="{861F39E4-B6E3-4755-82EE-590762BF82B4}"/>
    <hyperlink ref="M216" location="Punten!TA582" display="UCI-58" xr:uid="{9514FDC2-5B9D-4DB9-B442-89E558E3197E}"/>
    <hyperlink ref="M152" location="Punten!PO582" display="UCI-48" xr:uid="{CD087CC9-046E-4BC6-BEA5-CA795DAEDD3C}"/>
    <hyperlink ref="M154" location="Punten!MU582" display="UCI-40" xr:uid="{646ABF34-D5E4-4665-9DEA-AF40F52AAB0D}"/>
    <hyperlink ref="M165" location="Punten!LT582" display="UCI-37" xr:uid="{30B23796-AF98-40DC-83B7-FEF34D421086}"/>
    <hyperlink ref="M211" location="Punten!MC582" display="UCI-38" xr:uid="{D2E0225E-8FD4-45C4-B73E-B32D3D28871F}"/>
    <hyperlink ref="M191" location="Punten!KJ582" display="UCI-33" xr:uid="{7874FBD8-415B-4B58-881D-C6F9109CFB6F}"/>
    <hyperlink ref="M135" location="Punten!ML582" display="UCI-39" xr:uid="{894B8875-395B-4D90-95F1-AD39B71D3C53}"/>
    <hyperlink ref="M153" location="Punten!FN582" display="UCI-19" xr:uid="{2F874D9C-099E-4310-92F7-2B5A752132C8}"/>
    <hyperlink ref="M142" location="Punten!CK582" display="UCI-10" xr:uid="{4FBC588A-B2C4-4412-9F98-AE854D055994}"/>
    <hyperlink ref="M137" location="Punten!H582" display="UCI-01" xr:uid="{AE68A2EF-F552-4499-8917-ACD1EBD7DC4C}"/>
    <hyperlink ref="M148" location="Punten!XW582" display="UCI-72" xr:uid="{A1C0409F-57B7-4DCF-9D11-75981B50DD82}"/>
    <hyperlink ref="M174" location="Punten!YF582" display="UCI-73" xr:uid="{2304DBBE-A025-4DF3-BAB1-FFB9BE342E4E}"/>
    <hyperlink ref="M199" location="Punten!ZP582" display="UCI-77" xr:uid="{E866A63D-DD7D-48D9-8C8E-2EAD8F5E5B4A}"/>
    <hyperlink ref="M121" location="Punten!QP582" display="UCI-51" xr:uid="{35E956EB-7200-44F0-A0AC-A57D5A501666}"/>
    <hyperlink ref="M141" location="Punten!QY582" display="UCI-52" xr:uid="{806B6DFD-33FD-454F-A514-25DEB87DB200}"/>
    <hyperlink ref="M170" location="Punten!AHF582" display="UCI-99" xr:uid="{7F47F6A8-8F7B-4EF8-85B7-BD81274147E1}"/>
    <hyperlink ref="M120" location="Punten!FE582" display="UCI-18" xr:uid="{8DC71836-9D28-4C2A-B22E-4D306B98533C}"/>
    <hyperlink ref="M159" location="Punten!UB582" display="UCI-61" xr:uid="{289D837A-0C83-4A86-8244-F416D3F60232}"/>
    <hyperlink ref="M213" location="Punten!UT582" display="UCI-63" xr:uid="{2AF98353-9409-480B-B1AD-02E0CFBF3320}"/>
    <hyperlink ref="M158" location="Punten!VL582" display="UCI-65" xr:uid="{C3F44689-CDBC-4928-A75A-E5BCC5755117}"/>
    <hyperlink ref="M164" location="Punten!XN582" display="UCI-71" xr:uid="{80B59BD6-3B78-4FA6-A866-0331A8986CD5}"/>
    <hyperlink ref="M136" location="Punten!ZG582" display="UCI-76" xr:uid="{B769F908-0606-4C9B-A33A-2168E43642F5}"/>
    <hyperlink ref="M208" location="Punten!ZY582" display="UCI-78" xr:uid="{B6FBCF78-0C85-4857-B450-3C6D7A71265B}"/>
    <hyperlink ref="M206" location="Punten!AAH582" display="UCI-79" xr:uid="{C375B23D-13B9-4AE6-A87E-9DD46FE97180}"/>
    <hyperlink ref="M143" location="Punten!AAQ582" display="UCI-80" xr:uid="{953DDBE3-96B1-4207-9047-CE3757E431F7}"/>
    <hyperlink ref="M192" location="Punten!AAZ582" display="UCI-81" xr:uid="{E4BB45D4-E3DE-423F-A1B5-0974B52B6C00}"/>
    <hyperlink ref="M217" location="Punten!ABR582" display="UCI-83" xr:uid="{497D9C32-DCB8-47D3-A787-999992E3EB0B}"/>
    <hyperlink ref="M207" location="Punten!ACA582" display="UCI-84" xr:uid="{47683777-417C-45B5-A785-E9874152D22F}"/>
    <hyperlink ref="M178" location="Punten!AHO582" display="UCI-100" xr:uid="{1386CD3B-A54D-4C22-9254-E18E5A7DFDEB}"/>
    <hyperlink ref="M193:M217" location="Punten!AHO508" display="UCI-100" xr:uid="{83358BC8-1D30-4686-A436-ED1DB4C4E050}"/>
    <hyperlink ref="M147" location="Punten!AHX582" display="UCI-101" xr:uid="{B9C1738A-94D2-44F7-8B6C-55A89C37FF50}"/>
    <hyperlink ref="M215" location="Punten!AIG582" display="UCI-102" xr:uid="{1E0A93CE-2B3B-41E3-BD28-E3B7B8FDAEEE}"/>
    <hyperlink ref="M202" location="Punten!AIP582" display="UCI-103" xr:uid="{AD80EF0E-A975-4A45-A0BD-0E6F27F4E807}"/>
    <hyperlink ref="M173" location="Punten!AIY582" display="UCI-104" xr:uid="{3889C6D2-45EF-484D-B8F7-D3A98D6C564F}"/>
    <hyperlink ref="M197" location="Punten!AJH582" display="UCI-105" xr:uid="{C0A97D20-A38E-46ED-A9C7-B50AA36FF060}"/>
    <hyperlink ref="M181" location="Punten!AJQ582" display="UCI-106" xr:uid="{A77268EF-C7F0-41F4-BBE5-C7DF48BA6B9F}"/>
    <hyperlink ref="M146" location="Punten!AJZ582" display="UCI-107" xr:uid="{E784EDD3-2CD8-41EF-90B5-2DDBC1CD7217}"/>
    <hyperlink ref="M155" location="Punten!AKI582" display="UCI-108" xr:uid="{9ACE50C9-0CB9-49DB-9D11-E24A29FCB688}"/>
    <hyperlink ref="M133" location="Punten!AKR582" display="UCI-109" xr:uid="{06CBD107-EB91-44F7-9DC6-FEEE2E11E8D5}"/>
    <hyperlink ref="M187" location="Punten!ALA582" display="UCI-110" xr:uid="{1AA74ACE-788A-4911-815B-A37FB9144746}"/>
    <hyperlink ref="M201" location="Punten!ALJ582" display="UCI-111" xr:uid="{B1FDB678-E483-43AB-8553-3E0E6E3ABEE5}"/>
    <hyperlink ref="M196" location="Punten!ALS582" display="UCI-112" xr:uid="{08CC34EE-F959-45DC-A94C-8930BED22D90}"/>
    <hyperlink ref="M169" location="Punten!AMB582" display="UCI-113" xr:uid="{E0DF75ED-0D5B-44E4-9CE7-06BC1C203735}"/>
    <hyperlink ref="M193" location="Punten!AMK582" display="UCI-114" xr:uid="{A2A0EBAC-AF27-441F-89D3-7DFA4A2970E6}"/>
    <hyperlink ref="M204" location="Punten!AMT582" display="UCI-115" xr:uid="{70FB8EE8-1DC9-4A63-AAE9-3FE1536EA889}"/>
    <hyperlink ref="M118" location="Punten!ANC582" display="UCI-116" xr:uid="{0602BFCB-CC06-4126-8D5D-33B2C5F2E0F8}"/>
    <hyperlink ref="M163" location="Punten!ANL582" display="UCI-117" xr:uid="{67CD5AE8-79E5-44D2-96BA-A88AC99343BC}"/>
    <hyperlink ref="M160" location="Punten!ANU582" display="UCI-118" xr:uid="{73863EB2-8B9A-4AD8-BB28-3CCD87D6B24E}"/>
    <hyperlink ref="M189" location="Punten!AOD582" display="UCI-119" xr:uid="{2FA1A509-2E42-4127-AF12-5544654A3358}"/>
    <hyperlink ref="M172" location="Punten!AOM582" display="UCI-120" xr:uid="{4CACCF42-F774-42B2-B56B-3157107B8A79}"/>
    <hyperlink ref="M162" location="Punten!AOV582" display="UCI-121" xr:uid="{5B32F3D6-158A-4F6A-BBBF-1450E148B244}"/>
    <hyperlink ref="M150" location="Punten!APE582" display="UCI-122" xr:uid="{BEAF439B-955E-4CC0-8D7E-7612245AC782}"/>
    <hyperlink ref="M205" location="Punten!APN582" display="UCI-123" xr:uid="{58487112-BA78-4DE7-8129-3C5D355343E9}"/>
    <hyperlink ref="M200" location="Punten!APW582" display="UCI-124" xr:uid="{5B125F29-541E-4F62-81EA-C7FD9C5FC9E3}"/>
    <hyperlink ref="M166" location="Punten!AQF582" display="UCI-125" xr:uid="{BC38F8BF-9D0C-4256-B643-02E2BCE92B75}"/>
    <hyperlink ref="L243" location="Punten!AHF582" display="UCI-99" xr:uid="{A5C48951-C4CF-4E38-B42C-D566404406CD}"/>
    <hyperlink ref="L247" location="Punten!AHO582" display="UCI-100" xr:uid="{5038C039-24FC-44E4-BC64-48211ABE80C8}"/>
    <hyperlink ref="L224:L248" location="Punten!AHO508" display="UCI-100" xr:uid="{5BA4180A-FED6-4F4C-AAFB-AE6418693CF8}"/>
    <hyperlink ref="L234" location="Punten!AHX582" display="UCI-101" xr:uid="{E49039BB-35DA-4562-A620-E4B77DB608C0}"/>
    <hyperlink ref="L248" location="Punten!AIG582" display="UCI-102" xr:uid="{ECEBB770-7FB4-4CE4-A1C3-66BEE318BD32}"/>
    <hyperlink ref="L244" location="Punten!AIP582" display="UCI-103" xr:uid="{084BE99D-E89C-421B-8901-71E248A1B9B8}"/>
    <hyperlink ref="L230" location="Punten!AIY582" display="UCI-104" xr:uid="{B767BF66-FEC2-4F36-BD90-BD525CCF166B}"/>
    <hyperlink ref="L241" location="Punten!AJH582" display="UCI-105" xr:uid="{B336963D-97E2-4B79-916C-FCC6316D54CB}"/>
    <hyperlink ref="L228" location="Punten!AJQ582" display="UCI-106" xr:uid="{CBAAAEF1-D51D-46FC-9CDF-CD334AE175F4}"/>
    <hyperlink ref="L239" location="Punten!AJZ582" display="UCI-107" xr:uid="{15A67204-34C1-49CB-9CDE-6756E0330816}"/>
    <hyperlink ref="L226" location="Punten!AKI582" display="UCI-108" xr:uid="{810E9988-505B-4D31-AE12-73A3BF8936A8}"/>
    <hyperlink ref="L225" location="Punten!AKR582" display="UCI-109" xr:uid="{C8DE7BCE-330C-4059-A959-1DA3475B8B8E}"/>
    <hyperlink ref="L246" location="Punten!ALA582" display="UCI-110" xr:uid="{89170EE6-FC9F-438E-A47F-DDD398361EF6}"/>
    <hyperlink ref="L242" location="Punten!ALJ582" display="UCI-111" xr:uid="{511D7D3F-CA34-4224-80A9-0430D601EBB5}"/>
    <hyperlink ref="L245" location="Punten!ALS582" display="UCI-112" xr:uid="{4E3100C2-DB12-478E-9975-186273221E2D}"/>
    <hyperlink ref="L238" location="Punten!AMB582" display="UCI-113" xr:uid="{77CB811B-B563-423F-ADBD-C89B007CD601}"/>
    <hyperlink ref="L240" location="Punten!AMK582" display="UCI-114" xr:uid="{33107404-FCBF-4FE3-B5CE-86B793206D00}"/>
    <hyperlink ref="L235" location="Punten!AMT582" display="UCI-115" xr:uid="{C95F469F-46A8-4FE7-B63E-2983DEAD354D}"/>
    <hyperlink ref="L224" location="Punten!ANC582" display="UCI-116" xr:uid="{D4F19A8C-249B-4682-A371-A4F933C4F887}"/>
    <hyperlink ref="L232" location="Punten!ANL582" display="UCI-117" xr:uid="{35BA1464-529B-4C16-B767-B09B0F03FA30}"/>
    <hyperlink ref="L229" location="Punten!ANU582" display="UCI-118" xr:uid="{8DD8EB10-8B6C-439C-AED9-9E6FEE49B883}"/>
    <hyperlink ref="L237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31" location="Punten!APE582" display="UCI-122" xr:uid="{000CB80F-364D-4A17-BB2D-5CF584B6E169}"/>
    <hyperlink ref="L236" location="Punten!APN582" display="UCI-123" xr:uid="{9817A184-673C-4164-B97D-00C27CDACF79}"/>
    <hyperlink ref="L233" location="Punten!APW582" display="UCI-124" xr:uid="{92DB5256-1395-49F2-A49D-A61C1734AAB7}"/>
    <hyperlink ref="L227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1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2" r:id="rId1034" display="https://www.procyclingstats.com/rider/jarne-van-de-paar" xr:uid="{CD4C981E-4D8E-4EA5-A7F1-808AFA63653A}"/>
    <hyperlink ref="A1803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98" r:id="rId1049" display="https://www.procyclingstats.com/rider/gerardo-tivani" xr:uid="{B6582967-2093-4F53-B78B-E57E0BF3496F}"/>
    <hyperlink ref="A1724" r:id="rId1050" display="https://www.procyclingstats.com/rider/tomas-contte" xr:uid="{DE3A3094-18A4-4DF3-8A0D-8F0DD4FD7B87}"/>
    <hyperlink ref="A1763" r:id="rId1051" display="https://www.procyclingstats.com/rider/marcos-omar-mendez" xr:uid="{E79639D0-8EFF-47AE-B14A-A647399EA301}"/>
    <hyperlink ref="A1720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79" r:id="rId1054" display="https://www.procyclingstats.com/rider/ariel-maximiliano-richeze" xr:uid="{1BACE33B-3E84-46BB-B913-F2B75BEED3B0}"/>
    <hyperlink ref="A1758" r:id="rId1055" display="https://www.procyclingstats.com/rider/niklas-markl" xr:uid="{30897725-CD9A-477D-B530-9DF27AE76DA8}"/>
    <hyperlink ref="A1728" r:id="rId1056" display="https://www.procyclingstats.com/rider/juan-pablo-dotti" xr:uid="{DF061689-B2BE-46DC-B61B-C2548615C297}"/>
    <hyperlink ref="A1795" r:id="rId1057" display="https://www.procyclingstats.com/rider/manuele-tarozzi" xr:uid="{EFF60DFB-0566-4B32-95EB-FE7189DC9206}"/>
    <hyperlink ref="A1717" r:id="rId1058" display="https://www.procyclingstats.com/rider/egan-bernal" xr:uid="{27839448-B884-4CE6-AE54-5F897ACBE4AD}"/>
    <hyperlink ref="A1772" r:id="rId1059" display="https://www.procyclingstats.com/rider/cesar-nicolas-paredes" xr:uid="{EED7A8AD-7EDC-4F5C-AB9E-C57321C2207A}"/>
    <hyperlink ref="A1766" r:id="rId1060" display="https://www.procyclingstats.com/rider/leandro-carlos-messineo" xr:uid="{FAF40E53-F1E7-424D-8019-D3D559A4D1DA}"/>
    <hyperlink ref="A1782" r:id="rId1061" display="https://www.procyclingstats.com/rider/vicente-rojas" xr:uid="{90DD7296-CAAD-4D0D-B1A7-12534BBDD9DE}"/>
    <hyperlink ref="A1755" r:id="rId1062" display="https://www.procyclingstats.com/rider/kevin-ledanois" xr:uid="{014BB2DA-0DF6-450E-B2B5-A5CD0CEAC9B2}"/>
    <hyperlink ref="A1788" r:id="rId1063" display="https://www.procyclingstats.com/rider/marcus-sander-hansen" xr:uid="{FB9A97FD-1E66-4024-827B-4A3AE700DF49}"/>
    <hyperlink ref="A1712" r:id="rId1064" display="https://www.procyclingstats.com/rider/ayco-bastiaens" xr:uid="{2462CE6B-8634-4500-B4ED-753E9191A3D8}"/>
    <hyperlink ref="A1794" r:id="rId1065" display="https://www.procyclingstats.com/rider/joshua-tarling" xr:uid="{62FC2A6E-3562-4429-9AE5-83E38DFBC413}"/>
    <hyperlink ref="A1744" r:id="rId1066" display="https://www.procyclingstats.com/rider/mulu-kinfe-hailemichael" xr:uid="{DFEF438F-A19E-4AEB-8D11-4766EEC7F00D}"/>
    <hyperlink ref="A1789" r:id="rId1067" display="https://www.procyclingstats.com/rider/callum-scotson" xr:uid="{163FFCDA-365D-4648-BAEF-F1484D70E9C4}"/>
    <hyperlink ref="A1750" r:id="rId1068" display="https://www.procyclingstats.com/rider/charles-kagimu" xr:uid="{1136AB7D-1721-4EAF-8B2F-32B1AD7198E0}"/>
    <hyperlink ref="A1781" r:id="rId1069" display="https://www.procyclingstats.com/rider/kiya-rogora" xr:uid="{226561F7-DF81-45EC-9A91-3AF5E6EC98A6}"/>
    <hyperlink ref="A1745" r:id="rId1070" display="https://www.procyclingstats.com/rider/yacine-hamza" xr:uid="{853EB705-A3BE-4050-BB07-159F86395A00}"/>
    <hyperlink ref="A1729" r:id="rId1071" display="https://www.procyclingstats.com/rider/ed-doghmy-achraf" xr:uid="{4EF50FFA-7F7E-4516-8018-02B6288B9292}"/>
    <hyperlink ref="A1714" r:id="rId1072" display="https://www.procyclingstats.com/rider/youssef-bdadou" xr:uid="{8E9C09A9-E4F3-4C90-BEDD-2D00F414E854}"/>
    <hyperlink ref="A1727" r:id="rId1073" display="https://www.procyclingstats.com/rider/david-dekker" xr:uid="{632F09CD-F68E-4FCA-A20A-9FEFAE645692}"/>
    <hyperlink ref="A1761" r:id="rId1074" display="https://www.procyclingstats.com/rider/jeroen-meijers" xr:uid="{47B209E0-8529-4469-8DCD-1224E90FC7C9}"/>
    <hyperlink ref="A1715" r:id="rId1075" display="https://www.procyclingstats.com/rider/louis-bendixen" xr:uid="{60CA3113-8F4A-40F4-B761-32EACB842DD9}"/>
    <hyperlink ref="A1757" r:id="rId1076" display="https://www.procyclingstats.com/rider/rafael-lourenco" xr:uid="{33CAE527-7E4A-4061-842A-CC66261777FB}"/>
    <hyperlink ref="A1741" r:id="rId1077" display="https://www.procyclingstats.com/rider/tsgabu-gebremaryam-grmay" xr:uid="{18E99684-C35A-4565-AAE0-F095FF6482CB}"/>
    <hyperlink ref="M55" location="Punten!DC582" display="UCI-12" xr:uid="{E25C8C87-5F1B-426B-960B-80635B1EAED7}"/>
    <hyperlink ref="M35" location="Punten!GO582" display="UCI-22" xr:uid="{A89978E0-6940-4054-9EEC-8CF8AD7D30DE}"/>
    <hyperlink ref="M99" location="Punten!EV582" display="UCI-17" xr:uid="{289CC7A8-1D81-4D31-BF60-EDAC5A1D069D}"/>
    <hyperlink ref="M61" location="Punten!BS582" display="UCI-08" xr:uid="{3BB0BBCC-F003-4071-B60D-A815AB9622A7}"/>
    <hyperlink ref="M11" location="Punten!LB582" display="UCI-35" xr:uid="{281DB9A8-20D5-4FFA-A324-A84852B8F36B}"/>
    <hyperlink ref="M94" location="Punten!IZ582" display="UCI-29" xr:uid="{600726C4-7E7E-459F-9595-2782122B234D}"/>
    <hyperlink ref="M57" location="Punten!DL582" display="UCI-13" xr:uid="{C49E2014-DFFD-4048-BCF1-3E72F031B191}"/>
    <hyperlink ref="M58" location="Punten!PF582" display="UCI-47" xr:uid="{66CB2618-C34E-4B2B-B5CE-CC697A42A257}"/>
    <hyperlink ref="M26" location="Punten!JI582" display="UCI-30" xr:uid="{B32ECC25-148F-4DCF-8C50-64B8B619AD5D}"/>
    <hyperlink ref="M39" location="Punten!CB582" display="UCI-09" xr:uid="{C3CDE198-8713-4A26-A98C-49FF1C739181}"/>
    <hyperlink ref="M45" location="Punten!DU582" display="UCI-14" xr:uid="{6368475A-5E08-4755-AA15-B544ECF36EC8}"/>
    <hyperlink ref="M56" location="Punten!GX582" display="UCI-23" xr:uid="{27F801E1-B167-4495-B4BA-551A866A73B8}"/>
    <hyperlink ref="M10" location="Punten!RZ582" display="UCI-55" xr:uid="{F4DA2CD4-9960-4E0D-BCBD-AD56DA9DADC9}"/>
    <hyperlink ref="M42" location="Punten!HP582" display="UCI-25" xr:uid="{486CDE2F-9DB1-45BE-BE92-B8EDF6D6797B}"/>
    <hyperlink ref="M71" location="Punten!RH582" display="UCI-53" xr:uid="{52A86381-7BE4-4691-A18F-53B579E267C4}"/>
    <hyperlink ref="M89" location="Punten!Q582" display="UCI-02" xr:uid="{0BD54FF5-1E10-4FB7-A3AF-B2CF98666546}"/>
    <hyperlink ref="M98" location="Punten!NM582" display="UCI-42" xr:uid="{5DC5B326-8307-4ED6-9225-CC8DA2676A86}"/>
    <hyperlink ref="M77" location="Punten!VC582" display="UCI-64" xr:uid="{134DCA76-7517-4771-947B-F3E876346C0D}"/>
    <hyperlink ref="M91" location="Punten!AI582" display="UCI-04" xr:uid="{7FE7C9C3-EBCD-40B5-A11C-BE3F9789CE86}"/>
    <hyperlink ref="M30" location="Punten!AR582" display="UCI-05" xr:uid="{3487769D-6898-4707-80CD-935F7BEE2A79}"/>
    <hyperlink ref="M14" location="Punten!KA582" display="UCI-32" xr:uid="{7466E3F1-18F9-4034-AC1B-72FDED6365F7}"/>
    <hyperlink ref="M34" location="Punten!EM582" display="UCI-16" xr:uid="{07761466-6281-4CB9-A632-0F50A0CB3096}"/>
    <hyperlink ref="M48" location="Punten!ND582" display="UCI-41" xr:uid="{085735C1-3E6A-48C2-A24B-EA829808AB41}"/>
    <hyperlink ref="M90" location="Punten!CT582" display="UCI-11" xr:uid="{C42E9FFE-6A04-4175-A6E0-9A3617C519CF}"/>
    <hyperlink ref="M73" location="Punten!OW582" display="UCI-46" xr:uid="{638583BC-3E8E-4A8C-A18F-B0437081C2F3}"/>
    <hyperlink ref="M13" location="Punten!LK582" display="UCI-36" xr:uid="{EAC0E3E2-D1BD-4290-B90D-A260047C4B12}"/>
    <hyperlink ref="M72" location="Punten!BA582" display="UCI-06" xr:uid="{6928EC90-087B-4181-B457-E51789C36A2F}"/>
    <hyperlink ref="M32" location="Punten!FW582" display="UCI-20" xr:uid="{22FD0DD8-8F3E-443E-B8F3-A9D5C1000974}"/>
    <hyperlink ref="M29" location="Punten!NV582" display="UCI-43" xr:uid="{1F68E153-310E-4E71-88F4-945FCC6C80D1}"/>
    <hyperlink ref="M87" location="Punten!GF582" display="UCI-21" xr:uid="{F4EF0B11-08FF-4139-B083-6034A27BFC96}"/>
    <hyperlink ref="M93" location="Punten!Z582" display="UCI-03" xr:uid="{81D9ABEE-6A64-4167-A39E-94F7EDFC5856}"/>
    <hyperlink ref="M23" location="Punten!IQ582" display="UCI-28" xr:uid="{0E2AB036-48BA-4536-BBB5-154B2F5D614F}"/>
    <hyperlink ref="M40" location="Punten!ON582" display="UCI-45" xr:uid="{7F814194-2249-48A0-8213-E25B8D8A5510}"/>
    <hyperlink ref="M70" location="Punten!TJ582" display="UCI-59" xr:uid="{4C72F46D-2D22-433D-92D6-43FD9D7F39CC}"/>
    <hyperlink ref="M96" location="Punten!JR582" display="UCI-31" xr:uid="{509B3E79-864E-4D47-8C25-06A831CDB56B}"/>
    <hyperlink ref="M44" location="Punten!BJ582" display="UCI-07" xr:uid="{9F285C54-0BAC-4887-A0D2-A601F76159C0}"/>
    <hyperlink ref="M27" location="Punten!TS582" display="UCI-60" xr:uid="{D0D015A0-2D48-4673-9551-7452103B7CF9}"/>
    <hyperlink ref="M41" location="Punten!KS582" display="UCI-34" xr:uid="{77B7BBE3-F97C-4F67-AEF4-0358B4047E41}"/>
    <hyperlink ref="M97" location="Punten!WM582" display="UCI-68" xr:uid="{7323344B-20E4-480A-829B-31DCB37692C5}"/>
    <hyperlink ref="M47" location="Punten!SI582" display="UCI-56" xr:uid="{590CCCBE-7AA0-4F64-A498-7E1251EDFE77}"/>
    <hyperlink ref="M43" location="Punten!QG582" display="UCI-50" xr:uid="{67968FA8-7DE0-4D72-BF1C-A9A7A330526A}"/>
    <hyperlink ref="M100" location="Punten!HG582" display="UCI-24" xr:uid="{01A1A910-CB1B-42EB-8B61-DE9AFA02FBBE}"/>
    <hyperlink ref="M101" location="Punten!VU582" display="UCI-66" xr:uid="{3F59F4CB-7AA5-4445-8065-71DC3821B453}"/>
    <hyperlink ref="M7" location="Punten!SR582" display="UCI-57" xr:uid="{1BB79130-3CAD-4AF0-A3F9-CED94B5CC18F}"/>
    <hyperlink ref="M102" location="Punten!OE582" display="UCI-44" xr:uid="{5BAE4F4B-5BF4-4212-B0C7-6D6DD3CD58F8}"/>
    <hyperlink ref="M84" location="Punten!HY582" display="UCI-26" xr:uid="{EA7AE7ED-2EA2-4892-BA94-80C1F31A442C}"/>
    <hyperlink ref="M81" location="Punten!TA582" display="UCI-58" xr:uid="{EBC8FA1E-7A58-40F1-9D10-8DB6011B2007}"/>
    <hyperlink ref="M51" location="Punten!PO582" display="UCI-48" xr:uid="{BABC11E5-B944-4056-87D1-0B357ED6CFD6}"/>
    <hyperlink ref="M67" location="Punten!MU582" display="UCI-40" xr:uid="{CD389572-B6BD-4E90-8FC7-B34EC2DD4C4B}"/>
    <hyperlink ref="M82" location="Punten!LT582" display="UCI-37" xr:uid="{774B373E-3788-4C79-A010-B7805CD63D2F}"/>
    <hyperlink ref="M53" location="Punten!MC582" display="UCI-38" xr:uid="{E927A8D5-D729-4B6D-B970-F7770079E1A7}"/>
    <hyperlink ref="M28" location="Punten!KJ582" display="UCI-33" xr:uid="{AE654E9C-5BBD-41A1-93E7-30F75D3357B4}"/>
    <hyperlink ref="M4" location="Punten!ML582" display="UCI-39" xr:uid="{EEC4CAF7-DFF8-4016-AEEB-3A383BA21A93}"/>
    <hyperlink ref="M49" location="Punten!FN582" display="UCI-19" xr:uid="{5A43BA50-EC63-484F-85CF-632B48114780}"/>
    <hyperlink ref="M64" location="Punten!CK582" display="UCI-10" xr:uid="{7E2FE0F2-0168-4F33-9024-AA038564BBFD}"/>
    <hyperlink ref="M68" location="Punten!H582" display="UCI-01" xr:uid="{63855A3B-BF92-4361-B764-5D55C28D1412}"/>
    <hyperlink ref="M50" location="Punten!XW582" display="UCI-72" xr:uid="{683EAD62-139F-4668-9542-55B53A87026C}"/>
    <hyperlink ref="M9" location="Punten!YF582" display="UCI-73" xr:uid="{FF4267F0-2DD8-4C30-AFC5-057D5BD32504}"/>
    <hyperlink ref="M19" location="Punten!ZP582" display="UCI-77" xr:uid="{60D41EFA-EF3A-494C-BF2F-E8B2FEF5F65C}"/>
    <hyperlink ref="M20" location="Punten!QP582" display="UCI-51" xr:uid="{1A48A65B-CD8F-40FD-9797-CFDE7B56B61F}"/>
    <hyperlink ref="M52" location="Punten!QY582" display="UCI-52" xr:uid="{B6D3A4DC-1CB1-484D-9C38-440B7064333C}"/>
    <hyperlink ref="M46" location="Punten!AHF582" display="UCI-99" xr:uid="{DB6E792C-4D6C-4812-91AB-E64B01047F85}"/>
    <hyperlink ref="M88" location="Punten!FE582" display="UCI-18" xr:uid="{05A4743D-E9D9-4B47-BE13-2376D3DDF4D2}"/>
    <hyperlink ref="M79" location="Punten!UB582" display="UCI-61" xr:uid="{A460CB50-DB36-47BA-85BB-6116A7434A70}"/>
    <hyperlink ref="M80" location="Punten!UT582" display="UCI-63" xr:uid="{392E0508-A674-45A6-8318-1DD2F760A219}"/>
    <hyperlink ref="M86" location="Punten!VL582" display="UCI-65" xr:uid="{A022D304-3A7E-4D1F-82AF-97654F78E0F2}"/>
    <hyperlink ref="M62" location="Punten!XN582" display="UCI-71" xr:uid="{6F74F26A-FB0F-4A19-ABEC-FA9A52EC7533}"/>
    <hyperlink ref="M63" location="Punten!ZG582" display="UCI-76" xr:uid="{AF079D64-44AF-460B-948C-FD3C14322D54}"/>
    <hyperlink ref="M60" location="Punten!ZY582" display="UCI-78" xr:uid="{C2FF457A-A02C-424C-936C-2DE47C7A2B7D}"/>
    <hyperlink ref="M36" location="Punten!AAH582" display="UCI-79" xr:uid="{4EF33738-C5DF-44CB-8F46-A1B46B71BE90}"/>
    <hyperlink ref="M16" location="Punten!AAQ582" display="UCI-80" xr:uid="{4F858D7E-B846-46C1-BF5B-9DD1D6A10B24}"/>
    <hyperlink ref="M83" location="Punten!AAZ582" display="UCI-81" xr:uid="{3F0780EE-B7DE-4F66-B43C-2EDCC2EBE23A}"/>
    <hyperlink ref="M95" location="Punten!ABR582" display="UCI-83" xr:uid="{E4CBDCB2-8725-4CC2-A5A0-D7ECA4ECB2C4}"/>
    <hyperlink ref="M85" location="Punten!ACA582" display="UCI-84" xr:uid="{17B83DD6-DC5A-4976-8ED2-9A83C5459C97}"/>
    <hyperlink ref="M75" location="Punten!AHO582" display="UCI-100" xr:uid="{24F1F609-BDD7-46D5-93D9-4D661BC461F2}"/>
    <hyperlink ref="M78:M102" location="Punten!AHO508" display="UCI-100" xr:uid="{4CF3A056-16B8-447E-BA7C-3E7AF8D87561}"/>
    <hyperlink ref="M65" location="Punten!AHX582" display="UCI-101" xr:uid="{D29395A5-9DA7-40AF-B82C-863E72AD246F}"/>
    <hyperlink ref="M74" location="Punten!AIG582" display="UCI-102" xr:uid="{A203980B-A17D-4D86-A77F-11EE62438240}"/>
    <hyperlink ref="M18" location="Punten!AIP582" display="UCI-103" xr:uid="{9E285DEB-E1F1-43F0-B5EA-BA363E175014}"/>
    <hyperlink ref="M21" location="Punten!AIY582" display="UCI-104" xr:uid="{7A399CEA-1163-4843-A795-E6F63D317161}"/>
    <hyperlink ref="M78" location="Punten!AJH582" display="UCI-105" xr:uid="{B94AFE27-C300-4F58-AACD-337048BCF465}"/>
    <hyperlink ref="M15" location="Punten!AJQ582" display="UCI-106" xr:uid="{5F9A92ED-9A41-4403-9A99-724AAB35DC6F}"/>
    <hyperlink ref="M24" location="Punten!AJZ582" display="UCI-107" xr:uid="{DC9CE08D-5A1D-42D9-8716-504D9836C322}"/>
    <hyperlink ref="M8" location="Punten!AKI582" display="UCI-108" xr:uid="{D0CCE2C7-74DC-4371-9C54-57BB7B6E5AC4}"/>
    <hyperlink ref="M25" location="Punten!AKR582" display="UCI-109" xr:uid="{B0D8CA32-E2A2-41F4-8317-747364826324}"/>
    <hyperlink ref="M54" location="Punten!ALA582" display="UCI-110" xr:uid="{F7CA5E74-7A74-4CF2-9C1C-821A00DF74C8}"/>
    <hyperlink ref="M76" location="Punten!ALJ582" display="UCI-111" xr:uid="{D0268650-F7F8-490B-B719-E5C8939D16AC}"/>
    <hyperlink ref="M69" location="Punten!ALS582" display="UCI-112" xr:uid="{63B42CDD-83BE-4646-A07D-B57D6F155F17}"/>
    <hyperlink ref="M37" location="Punten!AMB582" display="UCI-113" xr:uid="{336F1AC1-EDEB-479F-9079-BA6EAA2FDB88}"/>
    <hyperlink ref="M66" location="Punten!AMK582" display="UCI-114" xr:uid="{2D6D8482-B6D7-43F7-A909-8D27C6F44C77}"/>
    <hyperlink ref="M5" location="Punten!AMT582" display="UCI-115" xr:uid="{16598033-A333-46F6-BCD3-136010D5B632}"/>
    <hyperlink ref="M12" location="Punten!ANC582" display="UCI-116" xr:uid="{D0A807D4-C623-42D9-8202-2EEC34E94C6F}"/>
    <hyperlink ref="M6" location="Punten!ANL582" display="UCI-117" xr:uid="{19A963EE-D4E1-4776-9B68-3E1491F8A2E9}"/>
    <hyperlink ref="M3" location="Punten!ANU582" display="UCI-118" xr:uid="{6CBF97CE-0F03-41AC-82C8-BCE6998D173E}"/>
    <hyperlink ref="M38" location="Punten!AOD582" display="UCI-119" xr:uid="{F5B8A0A9-B4F0-46F6-A4CF-CDE1CB0EF2F5}"/>
    <hyperlink ref="M59" location="Punten!AOM582" display="UCI-120" xr:uid="{0EF92019-9A74-4148-985B-E66B53CF4CCA}"/>
    <hyperlink ref="M92" location="Punten!AOV582" display="UCI-121" xr:uid="{66A7FE1A-1C50-4100-A4D0-F5550D0D145C}"/>
    <hyperlink ref="M22" location="Punten!APE582" display="UCI-122" xr:uid="{418ED14B-BA57-4E01-8178-DC3050ED41D6}"/>
    <hyperlink ref="M33" location="Punten!APN582" display="UCI-123" xr:uid="{43C48951-CCC1-4C4C-B85F-20314839238B}"/>
    <hyperlink ref="M31" location="Punten!APW582" display="UCI-124" xr:uid="{0E1770E2-67CC-4800-A045-A640D4CE2841}"/>
    <hyperlink ref="M17" location="Punten!AQF582" display="UCI-125" xr:uid="{CDD783C2-3C7A-452A-AC6F-F8DA939290E8}"/>
    <hyperlink ref="A1732" r:id="rId1078" display="https://www.procyclingstats.com/rider/lucas-eriksson" xr:uid="{D72C4F16-0C99-4310-ACF2-F6B3C453759E}"/>
    <hyperlink ref="A1778" r:id="rId1079" display="https://www.procyclingstats.com/rider/marc-oliver-pritzen" xr:uid="{7C195B0D-6F19-4176-99F3-D828732FCE8D}"/>
    <hyperlink ref="A1721" r:id="rId1080" display="https://www.procyclingstats.com/rider/thomas-bonnet" xr:uid="{B34316E8-EE4A-4652-BE5B-1EFF82912328}"/>
    <hyperlink ref="A1770" r:id="rId1081" display="https://www.procyclingstats.com/rider/callum-ormiston" xr:uid="{EC376891-B18E-4413-B717-6B810C9509F5}"/>
    <hyperlink ref="A1718" r:id="rId1082" display="https://www.procyclingstats.com/rider/joseph-blackmore" xr:uid="{EF8735B3-9A66-4F94-AC47-8D90C9B506A1}"/>
    <hyperlink ref="A1753" r:id="rId1083" display="https://www.procyclingstats.com/rider/peter-kusztor" xr:uid="{77575048-9B5A-42E4-9D59-4751F25AD09E}"/>
    <hyperlink ref="A1736" r:id="rId1084" display="https://www.procyclingstats.com/rider/francesco-gavazzi" xr:uid="{B50450D9-3D44-499F-92AD-01A5C0CCC852}"/>
    <hyperlink ref="A1769" r:id="rId1085" display="https://www.procyclingstats.com/rider/lukas-nerurkar" xr:uid="{748929C4-1709-4839-8896-E819C5F69B88}"/>
    <hyperlink ref="A1786" r:id="rId1086" display="https://www.procyclingstats.com/rider/jonas-rutsch" xr:uid="{6EEF6940-E1E3-4E6C-8FAD-A9E061835310}"/>
    <hyperlink ref="A1775" r:id="rId1087" display="https://www.procyclingstats.com/rider/edward-planckaert" xr:uid="{EB18CEE0-1C68-4639-AE94-2DEF4CD616CE}"/>
    <hyperlink ref="A1743" r:id="rId1088" display="https://www.procyclingstats.com/rider/per-strand-hagenes" xr:uid="{B94B14D9-780E-44D7-A44A-92BFFD414359}"/>
    <hyperlink ref="A1726" r:id="rId1089" display="https://www.procyclingstats.com/rider/adam-de-vos" xr:uid="{CBCC7E96-DBD7-4B5F-AC36-A9803683EBCB}"/>
    <hyperlink ref="A1710" r:id="rId1090" display="https://www.procyclingstats.com/rider/davide-bais" xr:uid="{58E8A873-2ADB-4DC6-9862-8EE89E4E8641}"/>
    <hyperlink ref="A1790" r:id="rId1091" display="https://www.procyclingstats.com/rider/javier-serrano" xr:uid="{56899D8B-3D9F-475A-989E-B3EA8EA3485E}"/>
    <hyperlink ref="A1808" r:id="rId1092" display="https://www.procyclingstats.com/rider/maikel-zijlaard" xr:uid="{AA877F54-2BDC-43EE-83BE-ECE9AB99C7CB}"/>
    <hyperlink ref="A1723" r:id="rId1093" display="https://www.procyclingstats.com/rider/filippo-colombo1" xr:uid="{40E1F13A-4BFC-4765-AD6A-208D2A8EB95C}"/>
    <hyperlink ref="A1735" r:id="rId1094" display="https://www.procyclingstats.com/rider/thomas-gachignard" xr:uid="{90FC67E1-64C2-44CB-AC09-6CC776A4D0AE}"/>
    <hyperlink ref="A1752" r:id="rId1095" display="https://www.procyclingstats.com/rider/wesley-kreder" xr:uid="{26C63ABF-A1B9-4271-B5B5-CBFC276C33C8}"/>
    <hyperlink ref="A1734" r:id="rId1096" display="https://www.procyclingstats.com/rider/sean-flynn" xr:uid="{104BA2D7-A9B4-4560-8569-0E07655DE5F6}"/>
    <hyperlink ref="A1722" r:id="rId1097" display="https://www.procyclingstats.com/rider/martijn-budding" xr:uid="{EE8FA480-0B28-4875-8C9B-3A9DF1F7B9A6}"/>
    <hyperlink ref="A1804" r:id="rId1098" display="https://www.procyclingstats.com/rider/nathan-vandepitte" xr:uid="{8FE19776-C2AA-44B9-91E1-873F6C0C0FE5}"/>
    <hyperlink ref="A1731" r:id="rId1099" display="https://www.procyclingstats.com/rider/felix-engelhardt" xr:uid="{A7A8AC66-1C2D-400C-B242-D633523F51EA}"/>
    <hyperlink ref="A1765" r:id="rId1100" display="https://www.procyclingstats.com/rider/sergio-meris" xr:uid="{F4733A6D-4F1F-41AA-8922-9F8E3D990280}"/>
    <hyperlink ref="A1730" r:id="rId1101" display="https://www.procyclingstats.com/rider/roy-eefting" xr:uid="{D10A2CEB-B36A-4F52-9B11-3CC8A4F99246}"/>
    <hyperlink ref="A1756" r:id="rId1102" display="https://www.procyclingstats.com/rider/jordi-lopez-caravaca" xr:uid="{BE6E2699-0303-4E7A-A336-B719303E558B}"/>
    <hyperlink ref="A1777" r:id="rId1103" display="https://www.procyclingstats.com/rider/benjamin-prades-reverter" xr:uid="{9487087A-AF9A-40B8-B229-8DC03FE2294A}"/>
    <hyperlink ref="A1706" r:id="rId1104" display="https://www.procyclingstats.com/rider/jack-aitken" xr:uid="{8BC3AC63-91F9-4D52-AAD5-D3875B64CC3B}"/>
    <hyperlink ref="A1725" r:id="rId1105" display="https://www.procyclingstats.com/rider/tijl-de-decker" xr:uid="{C8EF2822-28AF-4A47-B1D5-FEDCE59BCD91}"/>
    <hyperlink ref="A1807" r:id="rId1106" display="https://www.procyclingstats.com/rider/enrico-zanoncello" xr:uid="{DE726E42-58B8-4EC6-95E8-7F3607C360C6}"/>
    <hyperlink ref="A1711" r:id="rId1107" display="https://www.procyclingstats.com/rider/giacomo-ballabio" xr:uid="{56910E57-5B4E-4667-8BA0-1443E898AC44}"/>
    <hyperlink ref="A1751" r:id="rId1108" display="https://www.procyclingstats.com/rider/stefan-kovar" xr:uid="{EADCF6D5-2C75-4ECF-981E-316AB748D0FF}"/>
    <hyperlink ref="A1767" r:id="rId1109" display="https://www.procyclingstats.com/rider/drew-morey" xr:uid="{6D392615-253D-4084-B615-6CD04C1A2935}"/>
    <hyperlink ref="A1740" r:id="rId1110" display="https://www.procyclingstats.com/rider/camilo-andres-gomez-gomez" xr:uid="{F699BC10-588D-450A-8659-C20078022AFB}"/>
    <hyperlink ref="A1748" r:id="rId1111" display="https://www.procyclingstats.com/rider/hoonmin-jun" xr:uid="{FB7BD78C-BE17-4336-A66B-24D5B91A348A}"/>
    <hyperlink ref="A1764" r:id="rId1112" display="https://www.procyclingstats.com/rider/didier-merchan" xr:uid="{AD6213F0-85A3-45CC-9AA5-4C6503E2A894}"/>
    <hyperlink ref="A1768" r:id="rId1113" display="https://www.procyclingstats.com/rider/marco-murgano" xr:uid="{00237338-66EF-4CD3-82FD-E09BBC13DF44}"/>
    <hyperlink ref="A1773" r:id="rId1114" display="https://www.procyclingstats.com/rider/giulio-pellizzari" xr:uid="{653F0002-DF0A-4715-A9D1-2A7BBBE6B16C}"/>
    <hyperlink ref="A1780" r:id="rId1115" display="https://www.procyclingstats.com/rider/jonas-rickaert" xr:uid="{10147203-3990-4E3D-969B-73275BD28DBE}"/>
    <hyperlink ref="A1719" r:id="rId1116" display="https://www.procyclingstats.com/rider/jetse-bol" xr:uid="{2E626193-F1BE-4D22-9CC4-46BF7873B43A}"/>
    <hyperlink ref="A1799" r:id="rId1117" display="https://www.procyclingstats.com/rider/hugo-toumire" xr:uid="{E6962E3F-0116-4986-94C7-AB9DC04D3C84}"/>
    <hyperlink ref="A1805" r:id="rId1118" display="https://www.procyclingstats.com/rider/jordan-villani" xr:uid="{03569788-F338-4834-8A81-2F612E44A102}"/>
    <hyperlink ref="A1733" r:id="rId1119" display="https://www.procyclingstats.com/rider/riley-fleming" xr:uid="{8033B7BE-7449-4C9D-BF9D-1EF343819ADD}"/>
    <hyperlink ref="A1806" r:id="rId1120" display="https://www.procyclingstats.com/rider/liam-walsh" xr:uid="{D6129B52-ECE0-4083-9DB5-DEFDB470DC67}"/>
    <hyperlink ref="A1739" r:id="rId1121" display="https://www.procyclingstats.com/rider/brady-gilmore" xr:uid="{706E5015-B411-4A42-969B-E10938EC551E}"/>
    <hyperlink ref="A1800" r:id="rId1122" display="https://www.procyclingstats.com/rider/declan-trezise" xr:uid="{BA357BD7-A09D-49BC-ADAE-B4559D92BEA7}"/>
    <hyperlink ref="A1760" r:id="rId1123" display="https://www.procyclingstats.com/rider/hamish-mckenzie" xr:uid="{29A06920-19C7-4B9B-8990-BCE924C27D50}"/>
    <hyperlink ref="A1809" r:id="rId1124" display="https://www.procyclingstats.com/rider/nicolas-debeaumarche" xr:uid="{3E7C575D-7BB2-46FB-A58A-59C97EAF4C28}"/>
    <hyperlink ref="A1810" r:id="rId1125" display="https://www.procyclingstats.com/rider/timo-de-jong" xr:uid="{08ADE3CB-234D-448F-A007-2B736D5E0F5A}"/>
    <hyperlink ref="A1811" r:id="rId1126" display="https://www.procyclingstats.com/rider/abram-stockman" xr:uid="{85AAA232-A68D-4622-AC67-EA1E1683CBF4}"/>
    <hyperlink ref="J309" r:id="rId1127" display="https://www.procyclingstats.com/rider/pello-bilbao" xr:uid="{0F4A08BE-06C7-4EEB-B442-3DEEDC28D629}"/>
    <hyperlink ref="J306" r:id="rId1128" display="https://www.procyclingstats.com/rider/arnaud-de-lie" xr:uid="{BF7B38F4-0774-4AF8-B721-EC481764AC39}"/>
    <hyperlink ref="J330" r:id="rId1129" display="https://www.procyclingstats.com/rider/michael-matthews" xr:uid="{7B9464C7-82F6-4A75-8830-0BD27F6A36A1}"/>
    <hyperlink ref="J302" r:id="rId1130" display="https://www.procyclingstats.com/rider/neilson-powless" xr:uid="{74C00C76-2F32-4989-AADB-57EF26E1BC87}"/>
    <hyperlink ref="J312" r:id="rId1131" display="https://www.procyclingstats.com/rider/simon-yates" xr:uid="{924DB6B0-A2F5-470A-A537-E0914FCDA4E0}"/>
    <hyperlink ref="J310" r:id="rId1132" display="https://www.procyclingstats.com/rider/filippo-ganna" xr:uid="{68AB6585-CF19-43B1-9841-B57743A3236B}"/>
    <hyperlink ref="J304" r:id="rId1133" display="https://www.procyclingstats.com/rider/giulio-ciccone" xr:uid="{4DE87291-41A3-4FC3-9894-79DAFB0E554E}"/>
    <hyperlink ref="J340" r:id="rId1134" display="https://www.procyclingstats.com/rider/mauro-schmid" xr:uid="{6340601D-673D-44AC-817C-42BBB28619F3}"/>
    <hyperlink ref="J323" r:id="rId1135" display="https://www.procyclingstats.com/rider/magnus-sheffield" xr:uid="{E32FCB02-9F5C-48E4-AF10-E0F57AF29895}"/>
    <hyperlink ref="J332" r:id="rId1136" display="https://www.procyclingstats.com/rider/caleb-ewan" xr:uid="{12DBF56D-0C69-43EA-B61E-44B1188FE9F1}"/>
    <hyperlink ref="J318" r:id="rId1137" display="https://www.procyclingstats.com/rider/jay-vine" xr:uid="{E3B35610-E147-4433-95F9-AA00B88CF05B}"/>
    <hyperlink ref="J343" r:id="rId1138" display="https://www.procyclingstats.com/rider/simon-clarke" xr:uid="{4AFF8E13-AD16-4BDA-8C2E-3E7DB1206E91}"/>
    <hyperlink ref="J325" r:id="rId1139" display="https://www.procyclingstats.com/rider/hugo-page" xr:uid="{FBF06390-897D-4D89-B31E-02B03D984C61}"/>
    <hyperlink ref="J314" r:id="rId1140" display="https://www.procyclingstats.com/rider/rui-costa" xr:uid="{F0DB2B6B-FA43-4BFD-A0B3-605690ACDFC3}"/>
    <hyperlink ref="J326" r:id="rId1141" display="https://www.procyclingstats.com/rider/antonio-tiberi" xr:uid="{AD8BEA6E-D4A3-4AA3-ADF2-9AD25256DB08}"/>
    <hyperlink ref="J337" r:id="rId1142" display="https://www.procyclingstats.com/rider/marius-mayrhofer" xr:uid="{57842FD2-E0AF-493F-9A07-34E63D7ACB27}"/>
    <hyperlink ref="J303" r:id="rId1143" display="https://www.procyclingstats.com/rider/matteo-jorgenson" xr:uid="{149C84C7-E581-4B3C-9031-D6472531FD75}"/>
    <hyperlink ref="J336" r:id="rId1144" display="https://www.procyclingstats.com/rider/alexander-kristoff" xr:uid="{2A710192-676C-4154-A72D-382B83C2EC95}"/>
    <hyperlink ref="J295" r:id="rId1145" display="https://www.procyclingstats.com/rider/tadej-pogacar" xr:uid="{7A864683-0EE2-4DFA-8234-F25CBAC7A22B}"/>
    <hyperlink ref="J315" r:id="rId1146" display="https://www.procyclingstats.com/rider/mikel-landa" xr:uid="{7C4C4611-F297-4274-B112-1856380B76A5}"/>
    <hyperlink ref="J319" r:id="rId1147" display="https://www.procyclingstats.com/rider/tiesj-benoot" xr:uid="{C290A607-8066-4B64-99A1-F81B9CCABA8A}"/>
    <hyperlink ref="J341" r:id="rId1148" display="https://www.procyclingstats.com/rider/dylan-van-baarle" xr:uid="{54534184-55AB-4218-B6FE-7EF640656828}"/>
    <hyperlink ref="J298" r:id="rId1149" display="https://www.procyclingstats.com/rider/christophe-laporte" xr:uid="{43E60C1D-6B33-4221-923F-C172B03DA0FD}"/>
    <hyperlink ref="J311" r:id="rId1150" display="https://www.procyclingstats.com/rider/thomas-pidcock" xr:uid="{3DEE0336-B72C-4F72-8696-727FADE81506}"/>
    <hyperlink ref="J320" r:id="rId1151" display="https://www.procyclingstats.com/rider/tim-merlier" xr:uid="{77045499-0307-4348-928B-FA6D5FF831EA}"/>
    <hyperlink ref="J317" r:id="rId1152" display="https://www.procyclingstats.com/rider/luke-plapp" xr:uid="{B7B99742-E64A-4F7E-B219-6940D9720A6D}"/>
    <hyperlink ref="J296" r:id="rId1153" display="https://www.procyclingstats.com/rider/remco-evenepoel" xr:uid="{91DAB23B-ED22-4BEE-AECB-D37E9557C0B9}"/>
    <hyperlink ref="J334" r:id="rId1154" display="https://www.procyclingstats.com/rider/adam-yates" xr:uid="{1A4A1CED-5E72-492A-8581-E19CEC510A7A}"/>
    <hyperlink ref="J324" r:id="rId1155" display="https://www.procyclingstats.com/rider/valentin-madouas" xr:uid="{0432F7A4-5652-4B29-8EEA-C8D6F732A482}"/>
    <hyperlink ref="J316" r:id="rId1156" display="https://www.procyclingstats.com/rider/matej-mohoric" xr:uid="{6A8C35F7-65F8-4769-B82B-F9E38B159AE3}"/>
    <hyperlink ref="J308" r:id="rId1157" display="https://www.procyclingstats.com/rider/olav-kooij" xr:uid="{F7D36C5A-3E32-4D09-A5F4-9EB8E5F2AEF2}"/>
    <hyperlink ref="J329" r:id="rId1158" display="https://www.procyclingstats.com/rider/jonas-vingegaard-rasmussen" xr:uid="{F81DBCEC-B31E-4054-AEF5-448C290B325C}"/>
    <hyperlink ref="J313" r:id="rId1159" display="https://www.procyclingstats.com/rider/david-gaudu" xr:uid="{F575071E-9660-4F0A-8EC6-F59DB09BC35D}"/>
    <hyperlink ref="J333" r:id="rId1160" display="https://www.procyclingstats.com/rider/brandon-mcnulty" xr:uid="{837CEA02-5D8F-4FD3-934A-B96C334C057E}"/>
    <hyperlink ref="J307" r:id="rId1161" display="https://www.procyclingstats.com/rider/joao-almeida" xr:uid="{D71DDDB1-EDAC-4AE3-B8BC-0FEA24A39F77}"/>
    <hyperlink ref="J297" r:id="rId1162" display="https://www.procyclingstats.com/rider/primoz-roglic" xr:uid="{17FFAC93-C88E-408A-8E3A-32EC337EB5D4}"/>
    <hyperlink ref="J321" r:id="rId1163" display="https://www.procyclingstats.com/rider/tao-geoghegan-hart" xr:uid="{F6B35C66-988C-45DE-9192-07AF456E7ECF}"/>
    <hyperlink ref="J301" r:id="rId1164" display="https://www.procyclingstats.com/rider/mathieu-van-der-poel" xr:uid="{E9CF9BF9-A739-4FD6-AB8C-0D707A13944F}"/>
    <hyperlink ref="J299" r:id="rId1165" display="https://www.procyclingstats.com/rider/wout-van-aert" xr:uid="{0C0BD61A-12D0-4954-A37C-69B232AE777C}"/>
    <hyperlink ref="J300" r:id="rId1166" display="https://www.procyclingstats.com/rider/mads-pedersen" xr:uid="{E824E1D8-7E04-405F-A104-C6BDD2466C37}"/>
    <hyperlink ref="J305" r:id="rId1167" display="https://www.procyclingstats.com/rider/jasper-philipsen" xr:uid="{A3EA9AFA-A8EC-4AB9-ABD9-7DB89C981DEC}"/>
    <hyperlink ref="J339" r:id="rId1168" display="https://www.procyclingstats.com/rider/juan-sebastian-molano" xr:uid="{BA3C0FE4-06EF-4CEA-A6B0-99B857A35BCB}"/>
    <hyperlink ref="J322" r:id="rId1169" display="https://www.procyclingstats.com/rider/davide-ballerini" xr:uid="{0571F845-5494-46D7-ACCB-A91BD802ABF8}"/>
    <hyperlink ref="J328" r:id="rId1170" display="https://www.procyclingstats.com/rider/sep-vanmarcke" xr:uid="{1A214688-52F4-493E-8AA2-885CCAEC7E83}"/>
    <hyperlink ref="J327" r:id="rId1171" display="https://www.procyclingstats.com/rider/frederik-frison" xr:uid="{EF0B86B4-A30A-4A9F-91BD-4BBDE66FDA28}"/>
    <hyperlink ref="J338" r:id="rId1172" display="https://www.procyclingstats.com/rider/mattias-skjelmose-jensen" xr:uid="{90E8F98C-CF2B-4215-9EEA-F7E3EC618F6E}"/>
    <hyperlink ref="J344" r:id="rId1173" display="https://www.procyclingstats.com/rider/corbin-strong" xr:uid="{00685F15-67DF-49E3-8A8E-9AD536DCC518}"/>
    <hyperlink ref="J335" r:id="rId1174" display="https://www.procyclingstats.com/rider/nils-politt" xr:uid="{AF5DE456-5BAC-4A4B-9002-26887BA7EB63}"/>
    <hyperlink ref="J331" r:id="rId1175" display="https://www.procyclingstats.com/rider/stefan-kung" xr:uid="{3312BA98-9FFC-4034-A5B2-7B9063357370}"/>
    <hyperlink ref="J342" r:id="rId1176" display="https://www.procyclingstats.com/rider/nathan-van-hooydonck" xr:uid="{BE1E7B39-9AE3-4B8E-AFD3-E14B992FBB68}"/>
    <hyperlink ref="D173" location="Punten!DC582" display="UCI-12" xr:uid="{3A18D33C-0D38-453E-8505-E97D1864F57B}"/>
    <hyperlink ref="D172" location="Punten!GO582" display="UCI-22" xr:uid="{A0FA35FB-D71E-463C-A418-231F7323CE98}"/>
    <hyperlink ref="D132" location="Punten!EV582" display="UCI-17" xr:uid="{55BDDD2F-8440-4A3E-BBDB-6B4F533FA469}"/>
    <hyperlink ref="D124" location="Punten!BS582" display="UCI-08" xr:uid="{0707BF13-693D-4598-81E9-C71EC18AB452}"/>
    <hyperlink ref="D184" location="Punten!LB582" display="UCI-35" xr:uid="{C6CA90CE-5628-4A21-B2ED-55D85F4C6770}"/>
    <hyperlink ref="D129" location="Punten!IZ582" display="UCI-29" xr:uid="{FF0D8DFA-C65E-450D-B6AE-62CDD7A14AC1}"/>
    <hyperlink ref="D217" location="Punten!DL582" display="UCI-13" xr:uid="{283EDC56-CD80-47B1-8099-99AD4042A7CB}"/>
    <hyperlink ref="D148" location="Punten!PF582" display="UCI-47" xr:uid="{EDEA7609-ABFC-4135-B37E-21BC73D2FF04}"/>
    <hyperlink ref="D202" location="Punten!JI582" display="UCI-30" xr:uid="{29AB91CE-328F-4CF4-82B3-2353F63CF176}"/>
    <hyperlink ref="D195" location="Punten!CB582" display="UCI-09" xr:uid="{7BD3A489-A432-4B9B-87B8-21405F1F6976}"/>
    <hyperlink ref="D162" location="Punten!DU582" display="UCI-14" xr:uid="{281DA841-6AB5-498A-B601-6E8ECED3AED2}"/>
    <hyperlink ref="D135" location="Punten!GX582" display="UCI-23" xr:uid="{22A04E4D-BD19-4193-8CF7-F498A61E995C}"/>
    <hyperlink ref="D165" location="Punten!RZ582" display="UCI-55" xr:uid="{00016E56-9D5B-4124-81EE-F53E09FC80A4}"/>
    <hyperlink ref="D209" location="Punten!HP582" display="UCI-25" xr:uid="{BB424816-B2E9-4D3C-8BED-74D4F8EA9BAE}"/>
    <hyperlink ref="D126" location="Punten!RH582" display="UCI-53" xr:uid="{7361A233-49F0-47B5-98D7-3B4602930C8B}"/>
    <hyperlink ref="D196" location="Punten!Q582" display="UCI-02" xr:uid="{C675CF46-6D1E-413B-9F5C-B73EB369ECD4}"/>
    <hyperlink ref="D138" location="Punten!NM582" display="UCI-42" xr:uid="{3CC1D91A-38F1-4D66-8099-34ABE9455B3C}"/>
    <hyperlink ref="D182" location="Punten!VC582" display="UCI-64" xr:uid="{5730D31C-DA0D-4AC8-A21D-80D2E37AAD9F}"/>
    <hyperlink ref="D163" location="Punten!AI582" display="UCI-04" xr:uid="{BA3F8C42-A4B6-4297-B925-85BA5BA88C3C}"/>
    <hyperlink ref="D177" location="Punten!AR582" display="UCI-05" xr:uid="{96F52FDC-21F9-474F-8D3F-57199A798703}"/>
    <hyperlink ref="D127" location="Punten!KA582" display="UCI-32" xr:uid="{B37A9556-39FA-45E9-A5F0-7BF614CDEEE7}"/>
    <hyperlink ref="D176" location="Punten!EM582" display="UCI-16" xr:uid="{1A68EB33-8F57-4731-A252-B8DCC8B5FF0F}"/>
    <hyperlink ref="D155" location="Punten!ND582" display="UCI-41" xr:uid="{0787F89E-D502-4371-BA01-C8DACBB538F5}"/>
    <hyperlink ref="D159" location="Punten!CT582" display="UCI-11" xr:uid="{EE68BD77-4747-4922-900F-0A504024AECB}"/>
    <hyperlink ref="D203" location="Punten!OW582" display="UCI-46" xr:uid="{BA045FD8-8371-469E-8960-620AB6895264}"/>
    <hyperlink ref="D161" location="Punten!LK582" display="UCI-36" xr:uid="{B55A294F-E78D-4109-9CC4-0D3347551EF4}"/>
    <hyperlink ref="D136" location="Punten!BA582" display="UCI-06" xr:uid="{ED5E940F-F439-4F72-98E4-C26DBF0BBA66}"/>
    <hyperlink ref="D158" location="Punten!FW582" display="UCI-20" xr:uid="{D170354C-6B46-4920-91A4-9B9AD173AC21}"/>
    <hyperlink ref="D188" location="Punten!NV582" display="UCI-43" xr:uid="{CAD19B14-2DA5-4837-B01D-126178B08C4C}"/>
    <hyperlink ref="D152" location="Punten!GF582" display="UCI-21" xr:uid="{2BB79C5E-990A-4E22-92A9-5EC630B9FA8F}"/>
    <hyperlink ref="D192" location="Punten!Z582" display="UCI-03" xr:uid="{C2C94AFE-E02A-4B73-8235-AFB7376A4FF5}"/>
    <hyperlink ref="D143" location="Punten!IQ582" display="UCI-28" xr:uid="{97E7702F-A35D-49CF-A0F5-2F0A25E53516}"/>
    <hyperlink ref="D145" location="Punten!ON582" display="UCI-45" xr:uid="{1EAE8783-5CC3-43F5-9316-35D19DAECAEE}"/>
    <hyperlink ref="D211" location="Punten!TJ582" display="UCI-59" xr:uid="{C616A6DC-835D-4FFC-B01F-7D85AD22DD90}"/>
    <hyperlink ref="D191" location="Punten!JR582" display="UCI-31" xr:uid="{589AF79A-B9F2-4BF3-9B3D-A782EBB59D85}"/>
    <hyperlink ref="D207" location="Punten!BJ582" display="UCI-07" xr:uid="{C2930195-C7EC-4B33-A3BD-AB514DBE819C}"/>
    <hyperlink ref="D193" location="Punten!TS582" display="UCI-60" xr:uid="{7A78DEC9-38CB-4EAE-A483-EBEE88AF256D}"/>
    <hyperlink ref="D131" location="Punten!KS582" display="UCI-34" xr:uid="{DF08F141-3727-4656-BCC8-7704CBDC8CDA}"/>
    <hyperlink ref="D160" location="Punten!WM582" display="UCI-68" xr:uid="{E5690368-EE0B-47E8-84DC-4ACDD3CD3995}"/>
    <hyperlink ref="D166" location="Punten!SI582" display="UCI-56" xr:uid="{0C7935CD-921F-499F-84A9-A1DC53CE11E1}"/>
    <hyperlink ref="D175" location="Punten!QG582" display="UCI-50" xr:uid="{65355B0F-C530-42DE-8731-A9FE55007687}"/>
    <hyperlink ref="D137" location="Punten!HG582" display="UCI-24" xr:uid="{DC19F238-2A4E-49E9-9A02-0AC59E496409}"/>
    <hyperlink ref="D122" location="Punten!VU582" display="UCI-66" xr:uid="{2713DCFB-ED5D-420B-B6FB-D87477B2ED8A}"/>
    <hyperlink ref="D125" location="Punten!SR582" display="UCI-57" xr:uid="{71652086-4685-44F8-8638-4EDB4134A8C1}"/>
    <hyperlink ref="D213" location="Punten!OE582" display="UCI-44" xr:uid="{AE27A943-DD11-4FCB-8DD5-D220CCBB2AE1}"/>
    <hyperlink ref="D189" location="Punten!HY582" display="UCI-26" xr:uid="{8AE19C46-B784-44BD-8FAB-5796C34F4A30}"/>
    <hyperlink ref="D134" location="Punten!TA582" display="UCI-58" xr:uid="{E9F24FFE-ADBA-4049-96F0-05D2B38F601C}"/>
    <hyperlink ref="D215" location="Punten!PO582" display="UCI-48" xr:uid="{F860E9E4-8C8C-4966-A1B2-08A2B5162692}"/>
    <hyperlink ref="D198" location="Punten!MU582" display="UCI-40" xr:uid="{40FAB14D-A523-4FA6-8BA7-51F46D51AFD1}"/>
    <hyperlink ref="D156" location="Punten!LT582" display="UCI-37" xr:uid="{CCEC5C50-1AB9-43E9-BD79-A17541F7090E}"/>
    <hyperlink ref="D170" location="Punten!MC582" display="UCI-38" xr:uid="{C294784B-16F3-4E6D-A616-338D5A4D9DC1}"/>
    <hyperlink ref="D149" location="Punten!KJ582" display="UCI-33" xr:uid="{C664CE91-C616-461C-BBBE-C220082BA676}"/>
    <hyperlink ref="D164" location="Punten!ML582" display="UCI-39" xr:uid="{CF03D61F-61D5-4003-9836-FFB22B93E609}"/>
    <hyperlink ref="D142" location="Punten!FN582" display="UCI-19" xr:uid="{CB203193-E726-4CF9-B35A-1F6FF14C9D87}"/>
    <hyperlink ref="D146" location="Punten!CK582" display="UCI-10" xr:uid="{6ED3EB2B-27FF-4302-896D-66F38D7FB125}"/>
    <hyperlink ref="D212" location="Punten!H582" display="UCI-01" xr:uid="{120418D5-68E5-48D1-85F1-25DE26B38387}"/>
    <hyperlink ref="D190" location="Punten!XW582" display="UCI-72" xr:uid="{5CB73BBA-FA32-456D-B86B-316E17569052}"/>
    <hyperlink ref="D201" location="Punten!YF582" display="UCI-73" xr:uid="{1D952814-AD6A-40A4-BF62-214D074F59F0}"/>
    <hyperlink ref="D180" location="Punten!ZP582" display="UCI-77" xr:uid="{C1CD34E0-4EEF-4CC4-B200-A803D384A747}"/>
    <hyperlink ref="D133" location="Punten!QP582" display="UCI-51" xr:uid="{682A5404-C25B-427F-ADC2-A30593E94EA3}"/>
    <hyperlink ref="D118" location="Punten!QY582" display="UCI-52" xr:uid="{4E9B11E1-A44F-49E0-AADF-422DD6DDC245}"/>
    <hyperlink ref="D121" location="Punten!AHF582" display="UCI-99" xr:uid="{CEA013D4-7566-4AF9-810F-7789D4C9CEE9}"/>
    <hyperlink ref="D167" location="Punten!FE582" display="UCI-18" xr:uid="{89C58A1F-D7D5-436B-A8DB-B76F48F0B832}"/>
    <hyperlink ref="D147" location="Punten!UB582" display="UCI-61" xr:uid="{BA648C03-4AFD-4FB1-890D-EA2302184DB7}"/>
    <hyperlink ref="D141" location="Punten!UT582" display="UCI-63" xr:uid="{5C92570F-99F8-4987-95A9-2457E48A5375}"/>
    <hyperlink ref="D194" location="Punten!VL582" display="UCI-65" xr:uid="{56B718A9-E2D3-428C-A222-91E52BE63644}"/>
    <hyperlink ref="D169" location="Punten!XN582" display="UCI-71" xr:uid="{D23FFCF0-EC53-4986-AC44-250662F1E910}"/>
    <hyperlink ref="D120" location="Punten!ZG582" display="UCI-76" xr:uid="{61BB85D4-EA76-419A-BEC1-DB9AFFD7429B}"/>
    <hyperlink ref="D197" location="Punten!ZY582" display="UCI-78" xr:uid="{3F184D13-3211-4327-9261-119345E37675}"/>
    <hyperlink ref="D178" location="Punten!AAH582" display="UCI-79" xr:uid="{256B4B14-9E28-49D4-9C0F-D46E2CD8E76B}"/>
    <hyperlink ref="D130" location="Punten!AAQ582" display="UCI-80" xr:uid="{CA919EAD-300D-464E-8DD8-258D814DDF94}"/>
    <hyperlink ref="D154" location="Punten!AAZ582" display="UCI-81" xr:uid="{4435E638-5051-4476-93EA-0A29AEBC4B96}"/>
    <hyperlink ref="D128" location="Punten!ABR582" display="UCI-83" xr:uid="{FB6D8EC7-23D6-4728-AFDB-CACCF21B4A1C}"/>
    <hyperlink ref="D150" location="Punten!ACA582" display="UCI-84" xr:uid="{BC19EBBA-E75E-46B8-8C41-D46CF601EAAC}"/>
    <hyperlink ref="D153" location="Punten!AHO582" display="UCI-100" xr:uid="{E4841D04-A8F9-4860-BD1F-E672F7F2F2EF}"/>
    <hyperlink ref="D193:D217" location="Punten!AHO508" display="UCI-100" xr:uid="{1FD3A5BE-88F2-4DBE-AE53-C385C9091586}"/>
    <hyperlink ref="D186" location="Punten!AHX582" display="UCI-101" xr:uid="{E0DFDF30-0C6C-4BF7-9D21-C4F6A4664B33}"/>
    <hyperlink ref="D183" location="Punten!AIG582" display="UCI-102" xr:uid="{3AB8D1CF-7D05-4D72-9C57-7375EBA126A3}"/>
    <hyperlink ref="D214" location="Punten!AIP582" display="UCI-103" xr:uid="{F72E362F-A6DA-44F2-8BFC-923BAC257936}"/>
    <hyperlink ref="D185" location="Punten!AIY582" display="UCI-104" xr:uid="{2CDAC1D6-BE7D-4FA7-ABA6-7BEF1E66EEB8}"/>
    <hyperlink ref="D139" location="Punten!AJH582" display="UCI-105" xr:uid="{18FCAD46-5F66-47FA-9BA6-DB47B5E7BB2D}"/>
    <hyperlink ref="D174" location="Punten!AJQ582" display="UCI-106" xr:uid="{62553E76-8DD4-46BC-BB52-76943905B98B}"/>
    <hyperlink ref="D144" location="Punten!AJZ582" display="UCI-107" xr:uid="{077230C2-3962-4E82-8B71-F9E66531F0BC}"/>
    <hyperlink ref="D168" location="Punten!AKI582" display="UCI-108" xr:uid="{440B8A37-DA2C-44A9-AFFB-4C4024E56677}"/>
    <hyperlink ref="D119" location="Punten!AKR582" display="UCI-109" xr:uid="{05D6E823-738D-4CE5-BD86-4B0060BE3787}"/>
    <hyperlink ref="D140" location="Punten!ALA582" display="UCI-110" xr:uid="{54FBB761-3ABC-4060-96EE-D48F6C48903F}"/>
    <hyperlink ref="D179" location="Punten!ALJ582" display="UCI-111" xr:uid="{E0B5B27D-A4BC-466F-93C2-4404E385DDB7}"/>
    <hyperlink ref="D205" location="Punten!ALS582" display="UCI-112" xr:uid="{73405F3F-8543-4C91-B144-AE6D9C257372}"/>
    <hyperlink ref="D199" location="Punten!AMB582" display="UCI-113" xr:uid="{9A31D5CB-83BD-4D05-8629-4B18B8F4E57C}"/>
    <hyperlink ref="D208" location="Punten!AMK582" display="UCI-114" xr:uid="{8872D83F-C768-44E6-B951-00351634C98F}"/>
    <hyperlink ref="D210" location="Punten!AMT582" display="UCI-115" xr:uid="{B3FAD7AC-9CC0-40B3-914E-DE770149B1C7}"/>
    <hyperlink ref="D171" location="Punten!ANC582" display="UCI-116" xr:uid="{3F0800DE-7D3C-4FBE-8025-787066A4166C}"/>
    <hyperlink ref="D181" location="Punten!ANL582" display="UCI-117" xr:uid="{F5BC739C-F88F-49C5-B0AF-E80CF0BC1280}"/>
    <hyperlink ref="D123" location="Punten!ANU582" display="UCI-118" xr:uid="{FC2A9747-7CB5-4F6D-93AD-8582A0502380}"/>
    <hyperlink ref="D204" location="Punten!AOD582" display="UCI-119" xr:uid="{E1C5584B-4F8F-429A-BE69-E26ABF495AA8}"/>
    <hyperlink ref="D157" location="Punten!AOM582" display="UCI-120" xr:uid="{9954BD65-7D35-4D21-96D0-DA09555D445D}"/>
    <hyperlink ref="D187" location="Punten!AOV582" display="UCI-121" xr:uid="{4DA18A43-5C22-4609-BA3E-4BBBA67FED71}"/>
    <hyperlink ref="D216" location="Punten!APE582" display="UCI-122" xr:uid="{B6E72347-4692-477A-B0B3-EC362A7BB69F}"/>
    <hyperlink ref="D151" location="Punten!APN582" display="UCI-123" xr:uid="{60EA13AD-09E7-4A51-AD85-F8BC2D704A62}"/>
    <hyperlink ref="D200" location="Punten!APW582" display="UCI-124" xr:uid="{CC471303-C588-49A1-ABA0-6982DD616946}"/>
    <hyperlink ref="D206" location="Punten!AQF582" display="UCI-125" xr:uid="{B6351FA7-5E83-4809-AC31-E82DCDAA924F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77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2552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2014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2007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2013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2027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2008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2011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2031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2054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2033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2012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2014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2033</v>
      </c>
      <c r="C113" s="1">
        <v>2</v>
      </c>
      <c r="E113" t="s">
        <v>2011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2014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2012</v>
      </c>
      <c r="C119" s="1">
        <v>2</v>
      </c>
      <c r="E119" t="s">
        <v>2013</v>
      </c>
      <c r="H119" s="1">
        <v>1</v>
      </c>
      <c r="J119" t="s">
        <v>1653</v>
      </c>
      <c r="M119" s="1">
        <v>1</v>
      </c>
    </row>
    <row r="120" spans="1:13">
      <c r="A120" t="s">
        <v>2007</v>
      </c>
      <c r="C120" s="1">
        <v>1</v>
      </c>
      <c r="E120" t="s">
        <v>2027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2008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2031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2054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2012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1951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2509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2507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2506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2012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2509</v>
      </c>
      <c r="N191" s="75">
        <v>28749.500000000004</v>
      </c>
      <c r="O191" s="244" t="s">
        <v>3</v>
      </c>
      <c r="P191" s="390" t="s">
        <v>2010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2022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2013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2015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2006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2508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2014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2011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2008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2007</v>
      </c>
      <c r="Q211" s="3"/>
      <c r="S211" s="75">
        <v>21249.95</v>
      </c>
    </row>
    <row r="212" spans="1:25" ht="15.75">
      <c r="A212" s="39" t="s">
        <v>2514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3156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1834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2161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2031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2022</v>
      </c>
      <c r="R220" s="248"/>
      <c r="S220" s="152"/>
      <c r="T220" s="75">
        <v>27538.399999999991</v>
      </c>
      <c r="U220" s="244" t="s">
        <v>3</v>
      </c>
      <c r="V220" s="390" t="s">
        <v>2027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2010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4520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2012</v>
      </c>
      <c r="M222" s="39"/>
      <c r="O222" s="75">
        <v>27849.750000000011</v>
      </c>
      <c r="P222" s="244" t="s">
        <v>7</v>
      </c>
      <c r="Q222" s="41" t="s">
        <v>2006</v>
      </c>
      <c r="R222" s="40"/>
      <c r="S222" s="39"/>
      <c r="T222" s="376">
        <v>25952.099999999988</v>
      </c>
      <c r="U222" s="244" t="s">
        <v>7</v>
      </c>
      <c r="V222" s="41" t="s">
        <v>2033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2029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2032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2034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2013</v>
      </c>
      <c r="R226" s="40"/>
      <c r="S226" s="39"/>
      <c r="T226" s="75">
        <v>24022.300000000003</v>
      </c>
      <c r="U226" s="244" t="s">
        <v>14</v>
      </c>
      <c r="V226" s="41" t="s">
        <v>2054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2028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2014</v>
      </c>
      <c r="R228" s="40"/>
      <c r="S228" s="39"/>
      <c r="T228" s="75">
        <v>23432.200000000008</v>
      </c>
      <c r="U228" s="244" t="s">
        <v>18</v>
      </c>
      <c r="V228" s="41" t="s">
        <v>2057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2056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2015</v>
      </c>
      <c r="R230" s="40"/>
      <c r="S230" s="39"/>
      <c r="T230" s="75">
        <v>22486.400000000001</v>
      </c>
      <c r="U230" s="244" t="s">
        <v>22</v>
      </c>
      <c r="V230" s="41" t="s">
        <v>2030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2011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2107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2104</v>
      </c>
      <c r="H234" s="251"/>
      <c r="I234" s="39"/>
      <c r="J234" s="75">
        <v>0</v>
      </c>
      <c r="K234" s="244" t="s">
        <v>30</v>
      </c>
      <c r="L234" s="150" t="s">
        <v>2106</v>
      </c>
      <c r="M234" s="39"/>
      <c r="O234" s="75">
        <v>0</v>
      </c>
      <c r="P234" s="246" t="s">
        <v>30</v>
      </c>
      <c r="Q234" s="454" t="s">
        <v>2007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2103</v>
      </c>
      <c r="H235" s="251"/>
      <c r="I235" s="39"/>
      <c r="J235" s="75">
        <v>0</v>
      </c>
      <c r="K235" s="244" t="s">
        <v>32</v>
      </c>
      <c r="L235" s="150" t="s">
        <v>2105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3155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4154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2767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7" t="s">
        <v>3386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2014</v>
      </c>
      <c r="E252" s="42"/>
      <c r="F252" s="42"/>
      <c r="G252" s="42"/>
      <c r="H252" s="42"/>
      <c r="I252" s="42"/>
      <c r="J252" s="42"/>
      <c r="K252" s="42"/>
      <c r="L252" s="3" t="s">
        <v>1986</v>
      </c>
      <c r="M252" s="3" t="s">
        <v>1980</v>
      </c>
      <c r="P252" t="s">
        <v>2768</v>
      </c>
    </row>
    <row r="253" spans="1:19" ht="16.5">
      <c r="A253" s="42"/>
      <c r="B253" s="455" t="s">
        <v>1657</v>
      </c>
      <c r="E253" s="42"/>
      <c r="F253" s="42"/>
      <c r="G253" s="42"/>
      <c r="H253" s="42"/>
      <c r="I253" s="42"/>
      <c r="J253" s="42"/>
      <c r="K253" s="3" t="s">
        <v>1983</v>
      </c>
      <c r="L253" s="3" t="s">
        <v>1982</v>
      </c>
      <c r="M253" s="3" t="s">
        <v>1979</v>
      </c>
      <c r="P253" t="s">
        <v>2769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1952</v>
      </c>
      <c r="L254" s="3" t="s">
        <v>1967</v>
      </c>
      <c r="M254" s="3" t="s">
        <v>1957</v>
      </c>
      <c r="P254" t="s">
        <v>2770</v>
      </c>
    </row>
    <row r="255" spans="1:19" ht="16.5">
      <c r="A255" s="42"/>
      <c r="B255" s="190" t="s">
        <v>2007</v>
      </c>
      <c r="E255" s="42"/>
      <c r="F255" s="42"/>
      <c r="G255" s="42"/>
      <c r="H255" s="42"/>
      <c r="I255" s="42"/>
      <c r="J255" s="42"/>
      <c r="K255" s="42"/>
      <c r="L255" s="3" t="s">
        <v>2512</v>
      </c>
      <c r="M255" s="3" t="s">
        <v>1986</v>
      </c>
      <c r="P255" t="s">
        <v>2771</v>
      </c>
    </row>
    <row r="256" spans="1:19" ht="16.5">
      <c r="A256" s="42"/>
      <c r="B256" s="455" t="s">
        <v>1652</v>
      </c>
      <c r="E256" s="42"/>
      <c r="F256" s="42"/>
      <c r="G256" s="42"/>
      <c r="H256" s="42"/>
      <c r="I256" s="42"/>
      <c r="J256" s="42"/>
      <c r="K256" s="3" t="s">
        <v>1979</v>
      </c>
      <c r="L256" s="3" t="s">
        <v>1985</v>
      </c>
      <c r="M256" s="181" t="s">
        <v>1972</v>
      </c>
      <c r="P256" t="s">
        <v>2772</v>
      </c>
    </row>
    <row r="257" spans="1:16" ht="16.5">
      <c r="A257" s="42"/>
      <c r="B257" s="455" t="s">
        <v>1647</v>
      </c>
      <c r="E257" s="42"/>
      <c r="F257" s="42"/>
      <c r="G257" s="42"/>
      <c r="H257" s="42"/>
      <c r="I257" s="42"/>
      <c r="J257" s="42"/>
      <c r="K257" s="181" t="s">
        <v>1972</v>
      </c>
      <c r="L257" s="181" t="s">
        <v>1964</v>
      </c>
      <c r="M257" s="181" t="s">
        <v>1599</v>
      </c>
      <c r="P257" t="s">
        <v>2773</v>
      </c>
    </row>
    <row r="258" spans="1:16" ht="16.5">
      <c r="A258" s="42"/>
      <c r="B258" s="497" t="s">
        <v>3375</v>
      </c>
      <c r="E258" s="42"/>
      <c r="F258" s="42"/>
      <c r="G258" s="42"/>
      <c r="H258" s="42"/>
      <c r="I258" s="42"/>
      <c r="J258" s="42"/>
      <c r="K258" s="498"/>
      <c r="L258" s="498"/>
      <c r="M258" s="498"/>
      <c r="P258" t="s">
        <v>2774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1953</v>
      </c>
      <c r="L259" s="3" t="s">
        <v>2511</v>
      </c>
      <c r="M259" s="216" t="s">
        <v>1987</v>
      </c>
      <c r="P259" t="s">
        <v>2775</v>
      </c>
    </row>
    <row r="260" spans="1:16" ht="16.5">
      <c r="A260" s="42"/>
      <c r="B260" s="190" t="s">
        <v>2013</v>
      </c>
      <c r="E260" s="42"/>
      <c r="F260" s="42"/>
      <c r="G260" s="42"/>
      <c r="H260" s="42"/>
      <c r="I260" s="42"/>
      <c r="J260" s="42"/>
      <c r="K260" s="42"/>
      <c r="L260" s="3" t="s">
        <v>1977</v>
      </c>
      <c r="M260" s="3" t="s">
        <v>1978</v>
      </c>
      <c r="N260" s="42"/>
      <c r="P260" t="s">
        <v>3154</v>
      </c>
    </row>
    <row r="261" spans="1:16" ht="16.5">
      <c r="A261" s="42"/>
      <c r="B261" s="457" t="s">
        <v>2027</v>
      </c>
      <c r="E261" s="42"/>
      <c r="F261" s="42"/>
      <c r="G261" s="42"/>
      <c r="H261" s="42"/>
      <c r="I261" s="42"/>
      <c r="J261" s="42"/>
      <c r="K261" s="42"/>
      <c r="L261" s="42"/>
      <c r="M261" s="181" t="s">
        <v>4143</v>
      </c>
    </row>
    <row r="262" spans="1:16" ht="16.5">
      <c r="A262" s="42"/>
      <c r="B262" s="497" t="s">
        <v>3394</v>
      </c>
      <c r="E262" s="42"/>
      <c r="F262" s="42"/>
      <c r="G262" s="42"/>
      <c r="H262" s="42"/>
      <c r="I262" s="42"/>
      <c r="J262" s="42"/>
      <c r="K262" s="42"/>
      <c r="L262" s="42"/>
      <c r="M262" s="49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1954</v>
      </c>
      <c r="L264" s="216" t="s">
        <v>1953</v>
      </c>
      <c r="M264" s="42"/>
      <c r="N264" s="42"/>
    </row>
    <row r="265" spans="1:16" ht="16.5">
      <c r="A265" s="42"/>
      <c r="B265" s="456" t="s">
        <v>1653</v>
      </c>
      <c r="E265" s="42"/>
      <c r="F265" s="42"/>
      <c r="G265" s="42"/>
      <c r="H265" s="42"/>
      <c r="I265" s="42"/>
      <c r="J265" s="42"/>
      <c r="K265" s="181" t="s">
        <v>1973</v>
      </c>
      <c r="L265" s="181" t="s">
        <v>1966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1955</v>
      </c>
      <c r="L266" s="216" t="s">
        <v>1586</v>
      </c>
      <c r="M266" s="3" t="s">
        <v>1970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1957</v>
      </c>
      <c r="L267" s="216" t="s">
        <v>1965</v>
      </c>
      <c r="M267" s="42"/>
      <c r="N267" s="42"/>
    </row>
    <row r="268" spans="1:16" ht="16.5">
      <c r="A268" s="42"/>
      <c r="B268" s="457" t="s">
        <v>2057</v>
      </c>
      <c r="E268" s="42"/>
      <c r="F268" s="42"/>
      <c r="G268" s="42"/>
      <c r="H268" s="42"/>
      <c r="I268" s="42"/>
      <c r="J268" s="42"/>
      <c r="K268" s="42"/>
      <c r="L268" s="42"/>
      <c r="M268" s="3" t="s">
        <v>4151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1956</v>
      </c>
      <c r="L269" s="3" t="s">
        <v>1979</v>
      </c>
      <c r="M269" s="3" t="s">
        <v>1981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2010</v>
      </c>
      <c r="E271" s="42"/>
      <c r="F271" s="42"/>
      <c r="G271" s="42"/>
      <c r="H271" s="42"/>
      <c r="I271" s="42"/>
      <c r="J271" s="42"/>
      <c r="K271" s="42"/>
      <c r="L271" s="181" t="s">
        <v>1962</v>
      </c>
      <c r="M271" s="181" t="s">
        <v>1955</v>
      </c>
    </row>
    <row r="272" spans="1:16" ht="16.5">
      <c r="A272" s="42"/>
      <c r="B272" s="497" t="s">
        <v>3376</v>
      </c>
      <c r="E272" s="42"/>
      <c r="F272" s="42"/>
      <c r="G272" s="42"/>
      <c r="H272" s="42"/>
      <c r="I272" s="42"/>
      <c r="J272" s="42"/>
      <c r="K272" s="42"/>
      <c r="L272" s="498"/>
      <c r="M272" s="498"/>
      <c r="P272" s="49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7" t="s">
        <v>2028</v>
      </c>
      <c r="E274" s="42"/>
      <c r="F274" s="42"/>
      <c r="G274" s="42"/>
      <c r="H274" s="42"/>
      <c r="I274" s="42"/>
      <c r="J274" s="42"/>
      <c r="K274" s="42"/>
      <c r="L274" s="42"/>
      <c r="M274" s="3" t="s">
        <v>4150</v>
      </c>
    </row>
    <row r="275" spans="1:16" ht="16.5">
      <c r="A275" s="42"/>
      <c r="B275" s="497" t="s">
        <v>3379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7"/>
    </row>
    <row r="276" spans="1:16" ht="16.5">
      <c r="A276" s="42"/>
      <c r="B276" s="497" t="s">
        <v>3393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7"/>
    </row>
    <row r="277" spans="1:16" ht="16.5">
      <c r="A277" s="42"/>
      <c r="B277" s="190" t="s">
        <v>2008</v>
      </c>
      <c r="E277" s="42"/>
      <c r="F277" s="42"/>
      <c r="G277" s="42"/>
      <c r="H277" s="42"/>
      <c r="I277" s="42"/>
      <c r="J277" s="42"/>
      <c r="K277" s="42"/>
      <c r="L277" s="3" t="s">
        <v>1988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2022</v>
      </c>
      <c r="E280" s="42"/>
      <c r="F280" s="42"/>
      <c r="G280" s="42"/>
      <c r="H280" s="42"/>
      <c r="I280" s="42"/>
      <c r="J280" s="42"/>
      <c r="K280" s="42"/>
      <c r="L280" s="3" t="s">
        <v>1976</v>
      </c>
      <c r="M280" s="181" t="s">
        <v>1962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7" t="s">
        <v>3377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7" t="s">
        <v>2029</v>
      </c>
      <c r="E283" s="42"/>
      <c r="F283" s="42"/>
      <c r="G283" s="42"/>
      <c r="H283" s="42"/>
      <c r="I283" s="42"/>
      <c r="J283" s="42"/>
      <c r="K283" s="42"/>
      <c r="L283" s="42"/>
      <c r="M283" s="3" t="s">
        <v>4146</v>
      </c>
    </row>
    <row r="284" spans="1:16" ht="16.5">
      <c r="A284" s="42"/>
      <c r="B284" s="455" t="s">
        <v>1655</v>
      </c>
      <c r="E284" s="42"/>
      <c r="F284" s="42"/>
      <c r="G284" s="42"/>
      <c r="H284" s="42"/>
      <c r="I284" s="42"/>
      <c r="J284" s="42"/>
      <c r="K284" s="3" t="s">
        <v>1980</v>
      </c>
      <c r="L284" s="3" t="s">
        <v>1980</v>
      </c>
      <c r="M284" s="181" t="s">
        <v>1973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1957</v>
      </c>
      <c r="M285" s="216" t="s">
        <v>1965</v>
      </c>
    </row>
    <row r="286" spans="1:16" ht="16.5">
      <c r="A286" s="42"/>
      <c r="B286" s="190" t="s">
        <v>2015</v>
      </c>
      <c r="E286" s="42"/>
      <c r="F286" s="42"/>
      <c r="G286" s="42"/>
      <c r="H286" s="42"/>
      <c r="I286" s="42"/>
      <c r="J286" s="42"/>
      <c r="K286" s="42"/>
      <c r="L286" s="3" t="s">
        <v>1978</v>
      </c>
      <c r="M286" s="3" t="s">
        <v>1982</v>
      </c>
    </row>
    <row r="287" spans="1:16" ht="16.5">
      <c r="A287" s="42"/>
      <c r="B287" s="497" t="s">
        <v>3387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1958</v>
      </c>
      <c r="L289" s="3" t="s">
        <v>1958</v>
      </c>
      <c r="M289" s="3" t="s">
        <v>1963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1959</v>
      </c>
      <c r="L290" s="3" t="s">
        <v>1970</v>
      </c>
      <c r="M290" s="3" t="s">
        <v>1954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1960</v>
      </c>
      <c r="L292" s="3" t="s">
        <v>1602</v>
      </c>
      <c r="M292" s="3" t="s">
        <v>1589</v>
      </c>
    </row>
    <row r="293" spans="1:16" ht="16.5">
      <c r="A293" s="42"/>
      <c r="B293" s="497" t="s">
        <v>3402</v>
      </c>
      <c r="E293" s="122"/>
      <c r="F293" s="122"/>
      <c r="G293" s="122"/>
      <c r="H293" s="122"/>
      <c r="I293" s="499"/>
      <c r="J293" s="499"/>
      <c r="K293" s="498"/>
      <c r="L293" s="122"/>
      <c r="M293" s="122"/>
    </row>
    <row r="294" spans="1:16" ht="16.5">
      <c r="A294" s="42"/>
      <c r="B294" s="190" t="s">
        <v>2011</v>
      </c>
      <c r="E294" s="42"/>
      <c r="F294" s="42"/>
      <c r="G294" s="42"/>
      <c r="H294" s="42"/>
      <c r="I294" s="42"/>
      <c r="J294" s="42"/>
      <c r="K294" s="42"/>
      <c r="L294" s="3" t="s">
        <v>1987</v>
      </c>
      <c r="M294" s="3" t="s">
        <v>1984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1960</v>
      </c>
    </row>
    <row r="299" spans="1:16" ht="16.5">
      <c r="A299" s="42"/>
      <c r="B299" s="497" t="s">
        <v>3381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1961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7" t="s">
        <v>3406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7"/>
    </row>
    <row r="303" spans="1:16" ht="16.5">
      <c r="A303" s="42"/>
      <c r="B303" s="497" t="s">
        <v>3384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1962</v>
      </c>
      <c r="L304" s="216" t="s">
        <v>1956</v>
      </c>
      <c r="M304" s="42"/>
      <c r="N304" s="42"/>
    </row>
    <row r="305" spans="1:16" ht="16.5">
      <c r="A305" s="42"/>
      <c r="B305" s="455" t="s">
        <v>1643</v>
      </c>
      <c r="E305" s="42"/>
      <c r="F305" s="42"/>
      <c r="G305" s="42"/>
      <c r="H305" s="42"/>
      <c r="I305" s="42"/>
      <c r="J305" s="42"/>
      <c r="K305" s="3" t="s">
        <v>1989</v>
      </c>
      <c r="L305" s="3" t="s">
        <v>2510</v>
      </c>
      <c r="M305" s="3" t="s">
        <v>1985</v>
      </c>
    </row>
    <row r="306" spans="1:16" ht="16.5">
      <c r="A306" s="42"/>
      <c r="B306" s="497" t="s">
        <v>3380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7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7"/>
    </row>
    <row r="308" spans="1:16" ht="16.5">
      <c r="A308" s="42"/>
      <c r="B308" s="457" t="s">
        <v>4520</v>
      </c>
      <c r="E308" s="42"/>
      <c r="F308" s="42"/>
      <c r="G308" s="42"/>
      <c r="H308" s="42"/>
      <c r="I308" s="42"/>
      <c r="J308" s="42"/>
      <c r="K308" s="42"/>
      <c r="L308" s="42"/>
      <c r="M308" s="181" t="s">
        <v>4144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7" t="s">
        <v>3373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7"/>
    </row>
    <row r="313" spans="1:16" ht="16.5">
      <c r="A313" s="42"/>
      <c r="B313" s="457" t="s">
        <v>2030</v>
      </c>
      <c r="E313" s="42"/>
      <c r="F313" s="42"/>
      <c r="G313" s="42"/>
      <c r="H313" s="42"/>
      <c r="I313" s="42"/>
      <c r="J313" s="42"/>
      <c r="K313" s="42"/>
      <c r="L313" s="42"/>
      <c r="M313" s="3" t="s">
        <v>4153</v>
      </c>
      <c r="P313" s="497"/>
    </row>
    <row r="314" spans="1:16" ht="16.5">
      <c r="A314" s="42"/>
      <c r="B314" s="455" t="s">
        <v>1645</v>
      </c>
      <c r="E314" s="42"/>
      <c r="F314" s="42"/>
      <c r="G314" s="42"/>
      <c r="H314" s="42"/>
      <c r="I314" s="42"/>
      <c r="J314" s="42"/>
      <c r="K314" s="3" t="s">
        <v>1982</v>
      </c>
      <c r="L314" s="3" t="s">
        <v>1984</v>
      </c>
      <c r="M314" s="42"/>
      <c r="N314" s="42"/>
    </row>
    <row r="315" spans="1:16" ht="16.5">
      <c r="A315" s="42"/>
      <c r="B315" s="497" t="s">
        <v>3383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7" t="s">
        <v>2031</v>
      </c>
      <c r="E316" s="42"/>
      <c r="F316" s="42"/>
      <c r="G316" s="42"/>
      <c r="H316" s="42"/>
      <c r="I316" s="42"/>
      <c r="J316" s="42"/>
      <c r="K316" s="42"/>
      <c r="L316" s="42"/>
      <c r="M316" s="181" t="s">
        <v>4142</v>
      </c>
    </row>
    <row r="317" spans="1:16" ht="16.5">
      <c r="A317" s="42"/>
      <c r="B317" s="456" t="s">
        <v>1644</v>
      </c>
      <c r="E317" s="42"/>
      <c r="F317" s="42"/>
      <c r="G317" s="42"/>
      <c r="H317" s="42"/>
      <c r="I317" s="42"/>
      <c r="J317" s="42"/>
      <c r="K317" s="3" t="s">
        <v>1985</v>
      </c>
      <c r="L317" s="3" t="s">
        <v>2513</v>
      </c>
      <c r="M317" s="3" t="s">
        <v>1983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7" t="s">
        <v>3382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7" t="s">
        <v>3389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1963</v>
      </c>
      <c r="L321" s="181" t="s">
        <v>1955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1964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6" t="s">
        <v>1654</v>
      </c>
      <c r="E325" s="42"/>
      <c r="F325" s="42"/>
      <c r="G325" s="42"/>
      <c r="H325" s="42"/>
      <c r="I325" s="42"/>
      <c r="J325" s="42"/>
      <c r="K325" s="3" t="s">
        <v>1987</v>
      </c>
      <c r="L325" s="3" t="s">
        <v>1989</v>
      </c>
      <c r="M325" s="3" t="s">
        <v>1975</v>
      </c>
    </row>
    <row r="326" spans="1:14" ht="16.5">
      <c r="A326" s="42"/>
      <c r="B326" s="455" t="s">
        <v>1661</v>
      </c>
      <c r="E326" s="42"/>
      <c r="F326" s="42"/>
      <c r="G326" s="42"/>
      <c r="H326" s="42"/>
      <c r="I326" s="42"/>
      <c r="J326" s="42"/>
      <c r="K326" s="3" t="s">
        <v>1977</v>
      </c>
      <c r="L326" s="181" t="s">
        <v>1971</v>
      </c>
      <c r="M326" s="181" t="s">
        <v>1966</v>
      </c>
    </row>
    <row r="327" spans="1:14" ht="16.5">
      <c r="A327" s="42"/>
      <c r="B327" s="455" t="s">
        <v>1651</v>
      </c>
      <c r="E327" s="42"/>
      <c r="F327" s="42"/>
      <c r="G327" s="42"/>
      <c r="H327" s="42"/>
      <c r="I327" s="42"/>
      <c r="J327" s="42"/>
      <c r="K327" s="3" t="s">
        <v>1984</v>
      </c>
      <c r="L327" s="42"/>
      <c r="M327" s="42"/>
      <c r="N327" s="42"/>
    </row>
    <row r="328" spans="1:14" ht="16.5">
      <c r="A328" s="42"/>
      <c r="B328" s="455" t="s">
        <v>1656</v>
      </c>
      <c r="E328" s="42"/>
      <c r="F328" s="42"/>
      <c r="G328" s="42"/>
      <c r="H328" s="42"/>
      <c r="I328" s="42"/>
      <c r="J328" s="42"/>
      <c r="K328" s="3" t="s">
        <v>1978</v>
      </c>
      <c r="L328" s="3" t="s">
        <v>1975</v>
      </c>
      <c r="M328" s="3" t="s">
        <v>1977</v>
      </c>
    </row>
    <row r="329" spans="1:14" ht="16.5">
      <c r="A329" s="42"/>
      <c r="B329" s="457" t="s">
        <v>2032</v>
      </c>
      <c r="E329" s="42"/>
      <c r="F329" s="42"/>
      <c r="G329" s="42"/>
      <c r="H329" s="42"/>
      <c r="I329" s="42"/>
      <c r="J329" s="42"/>
      <c r="K329" s="42"/>
      <c r="L329" s="42"/>
      <c r="M329" s="3" t="s">
        <v>4147</v>
      </c>
      <c r="N329" s="42"/>
    </row>
    <row r="330" spans="1:14" ht="16.5">
      <c r="A330" s="42"/>
      <c r="B330" s="455" t="s">
        <v>1650</v>
      </c>
      <c r="E330" s="42"/>
      <c r="F330" s="42"/>
      <c r="G330" s="42"/>
      <c r="H330" s="42"/>
      <c r="I330" s="42"/>
      <c r="J330" s="42"/>
      <c r="K330" s="3" t="s">
        <v>1986</v>
      </c>
      <c r="L330" s="42"/>
      <c r="M330" s="42"/>
      <c r="N330" s="42"/>
    </row>
    <row r="331" spans="1:14" ht="16.5">
      <c r="A331" s="42"/>
      <c r="B331" s="497" t="s">
        <v>3378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1959</v>
      </c>
      <c r="M333" s="3" t="s">
        <v>1958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7" t="s">
        <v>3390</v>
      </c>
      <c r="E336" s="122"/>
      <c r="F336" s="122"/>
      <c r="G336" s="122"/>
      <c r="H336" s="122"/>
      <c r="I336" s="49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1965</v>
      </c>
      <c r="L337" s="181" t="s">
        <v>1973</v>
      </c>
      <c r="M337" s="3" t="s">
        <v>1969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1952</v>
      </c>
      <c r="M338" s="216" t="s">
        <v>1956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5" t="s">
        <v>1660</v>
      </c>
      <c r="E341" s="42"/>
      <c r="F341" s="42"/>
      <c r="G341" s="42"/>
      <c r="H341" s="42"/>
      <c r="I341" s="42"/>
      <c r="J341" s="42"/>
      <c r="K341" s="3" t="s">
        <v>1974</v>
      </c>
      <c r="L341" s="3" t="s">
        <v>1983</v>
      </c>
      <c r="M341" s="181" t="s">
        <v>1971</v>
      </c>
    </row>
    <row r="342" spans="1:16" ht="16.5">
      <c r="A342" s="42"/>
      <c r="B342" s="497" t="s">
        <v>3405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7" t="s">
        <v>2054</v>
      </c>
      <c r="E344" s="42"/>
      <c r="F344" s="42"/>
      <c r="G344" s="42"/>
      <c r="H344" s="42"/>
      <c r="I344" s="42"/>
      <c r="J344" s="42"/>
      <c r="K344" s="42"/>
      <c r="L344" s="42"/>
      <c r="M344" s="3" t="s">
        <v>4149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7" t="s">
        <v>2056</v>
      </c>
      <c r="E347" s="42"/>
      <c r="F347" s="42"/>
      <c r="G347" s="42"/>
      <c r="H347" s="42"/>
      <c r="I347" s="42"/>
      <c r="J347" s="42"/>
      <c r="K347" s="42"/>
      <c r="L347" s="42"/>
      <c r="M347" s="3" t="s">
        <v>4152</v>
      </c>
    </row>
    <row r="348" spans="1:16" ht="16.5">
      <c r="A348" s="42"/>
      <c r="B348" s="455" t="s">
        <v>1648</v>
      </c>
      <c r="E348" s="42"/>
      <c r="F348" s="42"/>
      <c r="G348" s="42"/>
      <c r="H348" s="42"/>
      <c r="I348" s="42"/>
      <c r="J348" s="42"/>
      <c r="K348" s="3" t="s">
        <v>1988</v>
      </c>
      <c r="L348" s="42"/>
      <c r="M348" s="42"/>
      <c r="N348" s="42"/>
      <c r="P348" s="49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1961</v>
      </c>
      <c r="N349" s="42"/>
    </row>
    <row r="350" spans="1:16" ht="16.5">
      <c r="A350" s="42"/>
      <c r="B350" s="457" t="s">
        <v>2161</v>
      </c>
      <c r="E350" s="42"/>
      <c r="F350" s="42"/>
      <c r="G350" s="42"/>
      <c r="H350" s="42"/>
      <c r="I350" s="42"/>
      <c r="J350" s="42"/>
      <c r="K350" s="42"/>
      <c r="L350" s="42"/>
      <c r="M350" s="181" t="s">
        <v>4141</v>
      </c>
    </row>
    <row r="351" spans="1:16" ht="16.5">
      <c r="A351" s="42"/>
      <c r="B351" s="497" t="s">
        <v>3385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1966</v>
      </c>
      <c r="L352" s="216" t="s">
        <v>1607</v>
      </c>
      <c r="M352" s="3" t="s">
        <v>1959</v>
      </c>
    </row>
    <row r="353" spans="1:16" ht="16.5">
      <c r="A353" s="42"/>
      <c r="B353" s="457" t="s">
        <v>2033</v>
      </c>
      <c r="E353" s="42"/>
      <c r="F353" s="42"/>
      <c r="G353" s="42"/>
      <c r="H353" s="42"/>
      <c r="I353" s="42"/>
      <c r="J353" s="42"/>
      <c r="K353" s="42"/>
      <c r="L353" s="42"/>
      <c r="M353" s="3" t="s">
        <v>4145</v>
      </c>
      <c r="N353" s="42"/>
      <c r="P353" s="497"/>
    </row>
    <row r="354" spans="1:16" ht="16.5">
      <c r="A354" s="42"/>
      <c r="B354" s="497" t="s">
        <v>3388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7"/>
    </row>
    <row r="355" spans="1:16" ht="16.5">
      <c r="A355" s="42"/>
      <c r="B355" s="190" t="s">
        <v>2006</v>
      </c>
      <c r="E355" s="42"/>
      <c r="F355" s="42"/>
      <c r="G355" s="42"/>
      <c r="H355" s="42"/>
      <c r="I355" s="42"/>
      <c r="J355" s="42"/>
      <c r="K355" s="42"/>
      <c r="L355" s="3" t="s">
        <v>1981</v>
      </c>
      <c r="M355" s="3" t="s">
        <v>1974</v>
      </c>
      <c r="P355" s="497"/>
    </row>
    <row r="356" spans="1:16" ht="16.5">
      <c r="A356" s="42"/>
      <c r="B356" s="497" t="s">
        <v>3407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7"/>
    </row>
    <row r="359" spans="1:16" ht="16.5">
      <c r="A359" s="42"/>
      <c r="B359" s="497" t="s">
        <v>3391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1967</v>
      </c>
      <c r="L360" s="3" t="s">
        <v>1954</v>
      </c>
      <c r="M360" s="3" t="s">
        <v>1967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1968</v>
      </c>
      <c r="L361" s="3" t="s">
        <v>1969</v>
      </c>
      <c r="M361" s="216" t="s">
        <v>1953</v>
      </c>
      <c r="P361" s="49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5" t="s">
        <v>1676</v>
      </c>
      <c r="E363" s="42"/>
      <c r="F363" s="42"/>
      <c r="G363" s="42"/>
      <c r="H363" s="42"/>
      <c r="I363" s="42"/>
      <c r="J363" s="42"/>
      <c r="K363" s="3" t="s">
        <v>1981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1969</v>
      </c>
      <c r="L364" s="216" t="s">
        <v>1961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6" t="s">
        <v>1662</v>
      </c>
      <c r="E368" s="42"/>
      <c r="F368" s="42"/>
      <c r="G368" s="42"/>
      <c r="H368" s="42"/>
      <c r="I368" s="42"/>
      <c r="J368" s="42"/>
      <c r="K368" s="181" t="s">
        <v>1971</v>
      </c>
      <c r="L368" s="181" t="s">
        <v>1960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7" t="s">
        <v>2034</v>
      </c>
      <c r="E370" s="42"/>
      <c r="F370" s="42"/>
      <c r="G370" s="42"/>
      <c r="H370" s="42"/>
      <c r="I370" s="42"/>
      <c r="J370" s="42"/>
      <c r="K370" s="42"/>
      <c r="L370" s="42"/>
      <c r="M370" s="3" t="s">
        <v>4148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7" t="s">
        <v>3403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1963</v>
      </c>
      <c r="M373" s="3" t="s">
        <v>1952</v>
      </c>
    </row>
    <row r="374" spans="1:14" ht="16.5">
      <c r="A374" s="42"/>
      <c r="B374" s="455" t="s">
        <v>1659</v>
      </c>
      <c r="E374" s="42"/>
      <c r="F374" s="42"/>
      <c r="G374" s="42"/>
      <c r="H374" s="42"/>
      <c r="I374" s="42"/>
      <c r="J374" s="42"/>
      <c r="K374" s="3" t="s">
        <v>1976</v>
      </c>
      <c r="L374" s="3" t="s">
        <v>1974</v>
      </c>
      <c r="M374" s="3" t="s">
        <v>1976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5" t="s">
        <v>1658</v>
      </c>
      <c r="E376" s="42"/>
      <c r="F376" s="42"/>
      <c r="G376" s="42"/>
      <c r="H376" s="42"/>
      <c r="I376" s="42"/>
      <c r="J376" s="42"/>
      <c r="K376" s="3" t="s">
        <v>1975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1970</v>
      </c>
      <c r="L377" s="3" t="s">
        <v>1968</v>
      </c>
      <c r="M377" s="181" t="s">
        <v>1964</v>
      </c>
    </row>
    <row r="378" spans="1:14" ht="16.5">
      <c r="A378" s="42"/>
      <c r="B378" s="457" t="s">
        <v>3374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2012</v>
      </c>
      <c r="E379" s="42"/>
      <c r="F379" s="42"/>
      <c r="G379" s="42"/>
      <c r="H379" s="42"/>
      <c r="I379" s="42"/>
      <c r="J379" s="42"/>
      <c r="K379" s="42"/>
      <c r="L379" s="181" t="s">
        <v>1972</v>
      </c>
      <c r="M379" s="3" t="s">
        <v>1968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65"/>
  <sheetViews>
    <sheetView topLeftCell="A467" zoomScaleNormal="100" workbookViewId="0">
      <selection activeCell="W479" sqref="W479:W488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2185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2162</v>
      </c>
      <c r="B3" s="290"/>
      <c r="C3" s="290"/>
      <c r="D3" s="290" t="s">
        <v>2163</v>
      </c>
      <c r="E3" s="290"/>
      <c r="F3" s="290"/>
      <c r="G3" s="290" t="s">
        <v>2164</v>
      </c>
      <c r="H3" s="290"/>
      <c r="I3" s="290"/>
      <c r="J3" s="290" t="s">
        <v>2165</v>
      </c>
      <c r="K3" s="290"/>
      <c r="L3" s="291"/>
      <c r="M3" s="290" t="s">
        <v>2166</v>
      </c>
      <c r="N3" s="290"/>
      <c r="O3" s="291"/>
      <c r="P3" s="290" t="s">
        <v>2167</v>
      </c>
      <c r="Q3" s="290"/>
      <c r="R3" s="290"/>
      <c r="S3" s="290" t="s">
        <v>2168</v>
      </c>
      <c r="T3" s="290"/>
      <c r="U3" s="290"/>
      <c r="V3" s="290" t="s">
        <v>2169</v>
      </c>
      <c r="W3" s="290"/>
      <c r="X3" s="290"/>
      <c r="Y3" s="290" t="s">
        <v>3474</v>
      </c>
      <c r="Z3" s="290"/>
      <c r="AA3" s="291"/>
      <c r="AB3" s="290" t="s">
        <v>3475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3574</v>
      </c>
      <c r="B5" s="40"/>
      <c r="C5" s="40"/>
      <c r="D5" s="436" t="s">
        <v>3580</v>
      </c>
      <c r="E5" s="40"/>
      <c r="F5" s="40"/>
      <c r="G5" s="436" t="s">
        <v>3587</v>
      </c>
      <c r="H5" s="40"/>
      <c r="I5" s="40"/>
      <c r="J5" s="437" t="s">
        <v>2256</v>
      </c>
      <c r="K5" s="40"/>
      <c r="L5" s="63"/>
      <c r="M5" s="434" t="s">
        <v>2303</v>
      </c>
      <c r="N5" s="40"/>
      <c r="O5" s="63"/>
      <c r="P5" s="437" t="s">
        <v>2265</v>
      </c>
      <c r="Q5" s="63"/>
      <c r="R5" s="28"/>
      <c r="S5" s="436" t="s">
        <v>3605</v>
      </c>
      <c r="T5" s="63"/>
      <c r="U5" s="63"/>
      <c r="V5" s="434" t="s">
        <v>3608</v>
      </c>
      <c r="W5" s="63"/>
      <c r="X5" s="63"/>
      <c r="Y5" s="434" t="s">
        <v>2282</v>
      </c>
      <c r="Z5" s="63"/>
      <c r="AA5" s="40"/>
      <c r="AB5" s="436" t="s">
        <v>3619</v>
      </c>
    </row>
    <row r="6" spans="1:29" ht="15.75">
      <c r="A6" s="280" t="s">
        <v>3576</v>
      </c>
      <c r="B6" s="40"/>
      <c r="C6" s="40"/>
      <c r="D6" s="280" t="s">
        <v>3586</v>
      </c>
      <c r="E6" s="40"/>
      <c r="F6" s="40"/>
      <c r="G6" s="437" t="s">
        <v>2296</v>
      </c>
      <c r="H6" s="40"/>
      <c r="I6" s="40"/>
      <c r="J6" s="437" t="s">
        <v>2257</v>
      </c>
      <c r="K6" s="40"/>
      <c r="L6" s="63"/>
      <c r="M6" s="437" t="s">
        <v>2245</v>
      </c>
      <c r="N6" s="40"/>
      <c r="O6" s="63"/>
      <c r="P6" s="280" t="s">
        <v>3500</v>
      </c>
      <c r="Q6" s="63"/>
      <c r="R6" s="63"/>
      <c r="S6" s="280" t="s">
        <v>2309</v>
      </c>
      <c r="T6" s="63"/>
      <c r="U6" s="63"/>
      <c r="V6" s="280" t="s">
        <v>2281</v>
      </c>
      <c r="W6" s="63"/>
      <c r="X6" s="63"/>
      <c r="Y6" s="436" t="s">
        <v>3613</v>
      </c>
      <c r="Z6" s="63"/>
      <c r="AA6" s="40"/>
      <c r="AB6" s="436" t="s">
        <v>3620</v>
      </c>
    </row>
    <row r="7" spans="1:29" ht="15.75">
      <c r="A7" t="s">
        <v>3577</v>
      </c>
      <c r="B7" s="40"/>
      <c r="C7" s="40"/>
      <c r="D7" s="436" t="s">
        <v>3581</v>
      </c>
      <c r="E7" s="40"/>
      <c r="F7" s="40"/>
      <c r="G7" s="436" t="s">
        <v>3588</v>
      </c>
      <c r="H7" s="40"/>
      <c r="I7" s="40"/>
      <c r="J7" s="436" t="s">
        <v>3589</v>
      </c>
      <c r="K7" s="40"/>
      <c r="L7" s="63"/>
      <c r="M7" s="280" t="s">
        <v>3594</v>
      </c>
      <c r="N7" s="40"/>
      <c r="O7" s="63"/>
      <c r="P7" s="437" t="s">
        <v>3597</v>
      </c>
      <c r="Q7" s="63"/>
      <c r="R7" s="63"/>
      <c r="S7" s="437" t="s">
        <v>2266</v>
      </c>
      <c r="T7" s="63"/>
      <c r="U7" s="63"/>
      <c r="V7" s="434" t="s">
        <v>2248</v>
      </c>
      <c r="W7" s="63"/>
      <c r="X7" s="63"/>
      <c r="Y7" s="434" t="s">
        <v>3614</v>
      </c>
      <c r="Z7" s="63"/>
      <c r="AA7" s="40"/>
      <c r="AB7" s="436" t="s">
        <v>3621</v>
      </c>
    </row>
    <row r="8" spans="1:29" ht="15.75">
      <c r="A8" t="s">
        <v>3578</v>
      </c>
      <c r="B8" s="40"/>
      <c r="C8" s="40"/>
      <c r="D8" s="280" t="s">
        <v>2286</v>
      </c>
      <c r="E8" s="40"/>
      <c r="F8" s="40"/>
      <c r="G8" s="280" t="s">
        <v>2246</v>
      </c>
      <c r="H8" s="40"/>
      <c r="I8" s="40"/>
      <c r="J8" s="434" t="s">
        <v>3590</v>
      </c>
      <c r="K8" s="40"/>
      <c r="L8" s="63"/>
      <c r="M8" s="280" t="s">
        <v>2271</v>
      </c>
      <c r="N8" s="40"/>
      <c r="O8" s="63"/>
      <c r="P8" s="280" t="s">
        <v>3598</v>
      </c>
      <c r="Q8" s="63"/>
      <c r="R8" s="63"/>
      <c r="S8" s="280" t="s">
        <v>2258</v>
      </c>
      <c r="T8" s="63"/>
      <c r="U8" s="63"/>
      <c r="V8" s="437" t="s">
        <v>2270</v>
      </c>
      <c r="W8" s="63"/>
      <c r="X8" s="63"/>
      <c r="Y8" s="280" t="s">
        <v>3615</v>
      </c>
      <c r="Z8" s="63"/>
      <c r="AA8" s="40"/>
      <c r="AB8" s="280" t="s">
        <v>3501</v>
      </c>
    </row>
    <row r="9" spans="1:29" ht="15.75">
      <c r="A9" s="280" t="s">
        <v>2297</v>
      </c>
      <c r="B9" s="40"/>
      <c r="C9" s="40"/>
      <c r="D9" s="280" t="s">
        <v>2272</v>
      </c>
      <c r="E9" s="40"/>
      <c r="F9" s="40"/>
      <c r="G9" s="436" t="s">
        <v>3600</v>
      </c>
      <c r="H9" s="40"/>
      <c r="I9" s="40"/>
      <c r="J9" s="280" t="s">
        <v>2259</v>
      </c>
      <c r="K9" s="40"/>
      <c r="L9" s="63"/>
      <c r="M9" s="436" t="s">
        <v>3595</v>
      </c>
      <c r="N9" s="40"/>
      <c r="O9" s="63"/>
      <c r="P9" s="280" t="s">
        <v>2308</v>
      </c>
      <c r="Q9" s="63"/>
      <c r="R9" s="63"/>
      <c r="S9" s="436" t="s">
        <v>3606</v>
      </c>
      <c r="T9" s="63"/>
      <c r="U9" s="63"/>
      <c r="V9" s="434" t="s">
        <v>2251</v>
      </c>
      <c r="W9" s="63"/>
      <c r="X9" s="63"/>
      <c r="Y9" s="436" t="s">
        <v>3616</v>
      </c>
      <c r="Z9" s="63"/>
      <c r="AA9" s="40"/>
      <c r="AB9" s="280" t="s">
        <v>2250</v>
      </c>
    </row>
    <row r="10" spans="1:29" ht="15.75">
      <c r="A10" t="s">
        <v>3579</v>
      </c>
      <c r="B10" s="40"/>
      <c r="C10" s="40"/>
      <c r="D10" s="437" t="s">
        <v>2273</v>
      </c>
      <c r="E10" s="40"/>
      <c r="F10" s="40"/>
      <c r="G10" s="434" t="s">
        <v>2310</v>
      </c>
      <c r="H10" s="40"/>
      <c r="I10" s="40"/>
      <c r="J10" s="436" t="s">
        <v>3591</v>
      </c>
      <c r="K10" s="40"/>
      <c r="L10" s="63"/>
      <c r="M10" s="280" t="s">
        <v>2253</v>
      </c>
      <c r="N10" s="40"/>
      <c r="O10" s="63"/>
      <c r="P10" s="437" t="s">
        <v>4522</v>
      </c>
      <c r="Q10" s="63"/>
      <c r="R10" s="63"/>
      <c r="S10" s="437" t="s">
        <v>2252</v>
      </c>
      <c r="T10" s="63"/>
      <c r="U10" s="63"/>
      <c r="V10" s="437" t="s">
        <v>3609</v>
      </c>
      <c r="W10" s="63"/>
      <c r="X10" s="63"/>
      <c r="Y10" s="280" t="s">
        <v>3617</v>
      </c>
      <c r="Z10" s="63"/>
      <c r="AA10" s="40"/>
      <c r="AB10" s="280" t="s">
        <v>2283</v>
      </c>
    </row>
    <row r="11" spans="1:29" ht="15.75">
      <c r="A11" s="434" t="s">
        <v>2262</v>
      </c>
      <c r="B11" s="40"/>
      <c r="C11" s="40"/>
      <c r="D11" s="436" t="s">
        <v>3582</v>
      </c>
      <c r="E11" s="40"/>
      <c r="F11" s="40"/>
      <c r="G11" s="280" t="s">
        <v>3499</v>
      </c>
      <c r="H11" s="40"/>
      <c r="I11" s="40"/>
      <c r="J11" s="434" t="s">
        <v>2298</v>
      </c>
      <c r="K11" s="40"/>
      <c r="L11" s="63"/>
      <c r="M11" s="436" t="s">
        <v>3596</v>
      </c>
      <c r="N11" s="40"/>
      <c r="O11" s="63"/>
      <c r="P11" s="280" t="s">
        <v>2268</v>
      </c>
      <c r="Q11" s="63"/>
      <c r="R11" s="63"/>
      <c r="S11" s="436" t="s">
        <v>3607</v>
      </c>
      <c r="T11" s="63"/>
      <c r="U11" s="63"/>
      <c r="V11" s="436" t="s">
        <v>3610</v>
      </c>
      <c r="W11" s="63"/>
      <c r="X11" s="63"/>
      <c r="Y11" s="280" t="s">
        <v>2311</v>
      </c>
      <c r="Z11" s="63"/>
      <c r="AA11" s="40"/>
      <c r="AB11" s="280" t="s">
        <v>2267</v>
      </c>
    </row>
    <row r="12" spans="1:29" ht="15.75">
      <c r="A12" s="280" t="s">
        <v>2247</v>
      </c>
      <c r="B12" s="40"/>
      <c r="C12" s="40"/>
      <c r="D12" s="436" t="s">
        <v>3583</v>
      </c>
      <c r="E12" s="40"/>
      <c r="F12" s="40"/>
      <c r="G12" s="280" t="s">
        <v>2254</v>
      </c>
      <c r="H12" s="40"/>
      <c r="I12" s="40"/>
      <c r="J12" s="436" t="s">
        <v>3592</v>
      </c>
      <c r="K12" s="40"/>
      <c r="L12" s="63"/>
      <c r="M12" s="280" t="s">
        <v>2285</v>
      </c>
      <c r="N12" s="40"/>
      <c r="O12" s="63"/>
      <c r="P12" s="280" t="s">
        <v>2263</v>
      </c>
      <c r="Q12" s="63"/>
      <c r="R12" s="63"/>
      <c r="S12" s="437" t="s">
        <v>2287</v>
      </c>
      <c r="T12" s="63"/>
      <c r="U12" s="63"/>
      <c r="V12" s="280" t="s">
        <v>2284</v>
      </c>
      <c r="W12" s="63"/>
      <c r="X12" s="63"/>
      <c r="Y12" s="437" t="s">
        <v>3618</v>
      </c>
      <c r="Z12" s="63"/>
      <c r="AA12" s="40"/>
      <c r="AB12" s="280" t="s">
        <v>2261</v>
      </c>
    </row>
    <row r="13" spans="1:29" ht="15.75">
      <c r="A13" s="280" t="s">
        <v>3502</v>
      </c>
      <c r="B13" s="40"/>
      <c r="C13" s="40"/>
      <c r="D13" s="436" t="s">
        <v>3584</v>
      </c>
      <c r="E13" s="40"/>
      <c r="F13" s="40"/>
      <c r="G13" s="280" t="s">
        <v>2260</v>
      </c>
      <c r="H13" s="40"/>
      <c r="I13" s="40"/>
      <c r="J13" s="280" t="s">
        <v>3593</v>
      </c>
      <c r="K13" s="40"/>
      <c r="L13" s="63"/>
      <c r="M13" s="280" t="s">
        <v>2312</v>
      </c>
      <c r="N13" s="40"/>
      <c r="O13" s="63"/>
      <c r="P13" s="280" t="s">
        <v>2264</v>
      </c>
      <c r="Q13" s="63"/>
      <c r="R13" s="63"/>
      <c r="S13" s="280" t="s">
        <v>2255</v>
      </c>
      <c r="T13" s="63"/>
      <c r="U13" s="63"/>
      <c r="V13" s="434" t="s">
        <v>3611</v>
      </c>
      <c r="W13" s="63"/>
      <c r="X13" s="63"/>
      <c r="Y13" s="280" t="s">
        <v>2274</v>
      </c>
      <c r="Z13" s="63"/>
      <c r="AA13" s="40"/>
      <c r="AB13" s="280" t="s">
        <v>2300</v>
      </c>
    </row>
    <row r="14" spans="1:29" ht="15.75">
      <c r="A14" s="280" t="s">
        <v>3575</v>
      </c>
      <c r="B14" s="40"/>
      <c r="C14" s="40"/>
      <c r="D14" s="436" t="s">
        <v>3585</v>
      </c>
      <c r="E14" s="40"/>
      <c r="F14" s="40"/>
      <c r="G14" s="280" t="s">
        <v>2289</v>
      </c>
      <c r="H14" s="40"/>
      <c r="I14" s="40"/>
      <c r="J14" s="434" t="s">
        <v>2269</v>
      </c>
      <c r="K14" s="40"/>
      <c r="L14" s="63"/>
      <c r="M14" s="280" t="s">
        <v>2299</v>
      </c>
      <c r="N14" s="40"/>
      <c r="O14" s="63"/>
      <c r="P14" s="436" t="s">
        <v>3599</v>
      </c>
      <c r="Q14" s="63"/>
      <c r="R14" s="63"/>
      <c r="S14" s="434" t="s">
        <v>2288</v>
      </c>
      <c r="T14" s="63"/>
      <c r="U14" s="63"/>
      <c r="V14" s="436" t="s">
        <v>3612</v>
      </c>
      <c r="W14" s="63"/>
      <c r="X14" s="63"/>
      <c r="Y14" s="437" t="s">
        <v>2249</v>
      </c>
      <c r="Z14" s="63"/>
      <c r="AA14" s="40"/>
      <c r="AB14" s="437" t="s">
        <v>2275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3476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2189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2170</v>
      </c>
      <c r="B21" s="28" t="s">
        <v>3989</v>
      </c>
      <c r="C21" s="28"/>
      <c r="D21" s="28"/>
      <c r="E21" s="28"/>
      <c r="F21" s="28" t="s">
        <v>3465</v>
      </c>
      <c r="G21" s="28" t="s">
        <v>4006</v>
      </c>
      <c r="H21" s="28"/>
      <c r="I21" s="28"/>
      <c r="J21" s="28"/>
      <c r="K21" t="s">
        <v>2171</v>
      </c>
      <c r="L21" s="28" t="s">
        <v>4012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3990</v>
      </c>
      <c r="C22" s="28"/>
      <c r="D22" s="28"/>
      <c r="E22" s="28"/>
      <c r="G22" s="28" t="s">
        <v>4007</v>
      </c>
      <c r="H22" s="28"/>
      <c r="I22" s="28"/>
      <c r="J22" s="28"/>
      <c r="K22" s="28"/>
      <c r="L22" s="28" t="s">
        <v>4013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2188</v>
      </c>
      <c r="C23" s="28"/>
      <c r="D23" s="28"/>
      <c r="E23" s="28"/>
      <c r="G23" s="28" t="s">
        <v>2190</v>
      </c>
      <c r="H23" s="28"/>
      <c r="I23" s="28"/>
      <c r="J23" s="28"/>
      <c r="K23" s="28"/>
      <c r="L23" s="28" t="s">
        <v>4014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3991</v>
      </c>
      <c r="C24" s="28"/>
      <c r="D24" s="28"/>
      <c r="E24" s="28"/>
      <c r="G24" s="28" t="s">
        <v>4008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3992</v>
      </c>
      <c r="C25" s="28"/>
      <c r="D25" s="28"/>
      <c r="E25" s="28"/>
      <c r="G25" s="28" t="s">
        <v>4011</v>
      </c>
      <c r="H25" s="28"/>
      <c r="I25" s="28"/>
      <c r="K25" t="s">
        <v>2172</v>
      </c>
      <c r="L25" s="28" t="s">
        <v>4015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3993</v>
      </c>
      <c r="C26" s="28"/>
      <c r="D26" s="28"/>
      <c r="E26" s="28"/>
      <c r="G26" s="28" t="s">
        <v>4009</v>
      </c>
      <c r="H26" s="28"/>
      <c r="I26" s="28"/>
      <c r="K26" s="28"/>
      <c r="L26" s="28" t="s">
        <v>4017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3994</v>
      </c>
      <c r="C27" s="28"/>
      <c r="D27" s="28"/>
      <c r="E27" s="28"/>
      <c r="G27" s="28" t="s">
        <v>4010</v>
      </c>
      <c r="H27" s="28"/>
      <c r="I27" s="28"/>
      <c r="J27" s="28"/>
      <c r="L27" s="28" t="s">
        <v>4016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3996</v>
      </c>
      <c r="C28" s="28"/>
      <c r="D28" s="28"/>
      <c r="E28" s="28"/>
      <c r="G28" s="28" t="s">
        <v>2191</v>
      </c>
      <c r="H28" s="28"/>
      <c r="I28" s="28"/>
      <c r="J28" s="28"/>
      <c r="X28" s="28"/>
      <c r="Y28" s="28"/>
      <c r="Z28" s="28"/>
    </row>
    <row r="29" spans="1:26" ht="14.25">
      <c r="B29" s="28" t="s">
        <v>3995</v>
      </c>
      <c r="G29" s="28"/>
      <c r="H29" s="28"/>
      <c r="K29" t="s">
        <v>2172</v>
      </c>
      <c r="L29" s="28" t="s">
        <v>4018</v>
      </c>
      <c r="X29" s="28"/>
      <c r="Y29" s="28"/>
      <c r="Z29" s="28"/>
    </row>
    <row r="30" spans="1:26" ht="14.25">
      <c r="B30" s="28" t="s">
        <v>3999</v>
      </c>
      <c r="H30" s="28"/>
      <c r="L30" s="28" t="s">
        <v>4019</v>
      </c>
      <c r="X30" s="28"/>
      <c r="Y30" s="28"/>
      <c r="Z30" s="28"/>
    </row>
    <row r="31" spans="1:26" ht="14.25">
      <c r="B31" s="28" t="s">
        <v>3997</v>
      </c>
      <c r="G31" s="28"/>
      <c r="L31" s="28" t="s">
        <v>4020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3998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4000</v>
      </c>
      <c r="K33" t="s">
        <v>2174</v>
      </c>
      <c r="L33" s="28" t="s">
        <v>4021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4001</v>
      </c>
      <c r="L34" s="28" t="s">
        <v>4022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4002</v>
      </c>
      <c r="L35" s="28" t="s">
        <v>4023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4003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4004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4005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3477</v>
      </c>
      <c r="K41" s="28" t="s">
        <v>2187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2177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3478</v>
      </c>
      <c r="B43" s="28"/>
      <c r="C43" s="294" t="s">
        <v>3482</v>
      </c>
      <c r="E43" s="124" t="s">
        <v>2171</v>
      </c>
      <c r="F43" s="28"/>
      <c r="G43" s="124" t="s">
        <v>2173</v>
      </c>
      <c r="H43" s="28"/>
      <c r="I43" s="28"/>
      <c r="K43" s="28" t="s">
        <v>3466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3486</v>
      </c>
      <c r="F44" t="s">
        <v>2176</v>
      </c>
      <c r="G44" s="221" t="s">
        <v>3497</v>
      </c>
      <c r="H44" t="s">
        <v>2176</v>
      </c>
      <c r="K44" s="28" t="s">
        <v>4593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3487</v>
      </c>
      <c r="F45" t="s">
        <v>2179</v>
      </c>
      <c r="G45" s="221" t="s">
        <v>3498</v>
      </c>
      <c r="H45" t="s">
        <v>2179</v>
      </c>
      <c r="K45" s="28" t="s">
        <v>2186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3488</v>
      </c>
      <c r="F46" t="s">
        <v>2181</v>
      </c>
      <c r="G46" s="221"/>
      <c r="K46" s="28" t="s">
        <v>3473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3489</v>
      </c>
      <c r="F47" t="s">
        <v>2183</v>
      </c>
      <c r="G47" s="221"/>
      <c r="K47" s="28" t="s">
        <v>3471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3490</v>
      </c>
      <c r="F48" t="s">
        <v>2195</v>
      </c>
      <c r="G48" s="294" t="s">
        <v>2174</v>
      </c>
      <c r="K48" s="28" t="s">
        <v>3472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3491</v>
      </c>
      <c r="F49" t="s">
        <v>2192</v>
      </c>
      <c r="G49" t="s">
        <v>2196</v>
      </c>
      <c r="K49" s="28" t="s">
        <v>3467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3479</v>
      </c>
      <c r="B50" s="221"/>
      <c r="C50" s="294" t="s">
        <v>3484</v>
      </c>
      <c r="E50" s="221" t="s">
        <v>3492</v>
      </c>
      <c r="F50" t="s">
        <v>2193</v>
      </c>
      <c r="G50" s="221"/>
      <c r="K50" s="28" t="s">
        <v>3468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3493</v>
      </c>
      <c r="F51" t="s">
        <v>2194</v>
      </c>
      <c r="G51" s="221"/>
      <c r="K51" s="28" t="s">
        <v>3469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3470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2172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2196</v>
      </c>
      <c r="F55" s="221" t="s">
        <v>2175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3494</v>
      </c>
      <c r="F56" s="221" t="s">
        <v>2178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3480</v>
      </c>
      <c r="B57" s="221"/>
      <c r="C57" s="294" t="s">
        <v>3485</v>
      </c>
      <c r="E57" t="s">
        <v>3495</v>
      </c>
      <c r="F57" s="221" t="s">
        <v>2180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3496</v>
      </c>
      <c r="F58" s="221" t="s">
        <v>2182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3481</v>
      </c>
      <c r="B64" s="221"/>
      <c r="C64" s="294" t="s">
        <v>3483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2162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4"/>
      <c r="C75" s="444"/>
      <c r="D75" s="445"/>
      <c r="E75" s="445"/>
      <c r="F75" s="445"/>
      <c r="G75" s="318" t="s">
        <v>150</v>
      </c>
      <c r="H75" s="444"/>
      <c r="I75" s="319" t="s">
        <v>184</v>
      </c>
      <c r="J75" s="445"/>
      <c r="K75" s="444"/>
      <c r="L75" s="318"/>
      <c r="M75" s="444"/>
      <c r="N75" s="444"/>
      <c r="O75" s="318" t="s">
        <v>150</v>
      </c>
      <c r="P75" s="444"/>
      <c r="Q75" s="319" t="s">
        <v>843</v>
      </c>
      <c r="R75" s="444"/>
      <c r="S75" s="444"/>
      <c r="T75" s="444"/>
      <c r="U75" s="444"/>
      <c r="V75" s="444"/>
      <c r="W75" s="318" t="s">
        <v>150</v>
      </c>
    </row>
    <row r="76" spans="1:26" ht="15.75">
      <c r="A76" s="324" t="s">
        <v>3448</v>
      </c>
      <c r="B76" s="320"/>
      <c r="C76" s="320"/>
      <c r="D76" s="316"/>
      <c r="E76" s="468">
        <f>'Punten per wedstrijd'!E113*1.2</f>
        <v>601.55999999999995</v>
      </c>
      <c r="F76" s="468">
        <f>'Punten per wedstrijd'!E181</f>
        <v>696</v>
      </c>
      <c r="G76" s="313" t="s">
        <v>4554</v>
      </c>
      <c r="H76" s="320"/>
      <c r="I76" s="324" t="s">
        <v>3452</v>
      </c>
      <c r="J76" s="316"/>
      <c r="K76" s="317"/>
      <c r="L76" s="318"/>
      <c r="M76" s="468">
        <f>'Punten per wedstrijd'!E28*1.2</f>
        <v>285.83999999999986</v>
      </c>
      <c r="N76" s="468">
        <f>'Punten per wedstrijd'!E9</f>
        <v>257.99999999999977</v>
      </c>
      <c r="O76" s="313" t="s">
        <v>4557</v>
      </c>
      <c r="P76" s="320"/>
      <c r="Q76" s="324" t="s">
        <v>3457</v>
      </c>
      <c r="R76" s="317"/>
      <c r="S76" s="317"/>
      <c r="T76" s="317"/>
      <c r="U76" s="468">
        <f>'Punten per wedstrijd'!F113*1.2</f>
        <v>740.15999999999906</v>
      </c>
      <c r="V76" s="468">
        <f>'Punten per wedstrijd'!F200</f>
        <v>374.99999999999955</v>
      </c>
      <c r="W76" s="313" t="s">
        <v>4555</v>
      </c>
    </row>
    <row r="77" spans="1:26" ht="15.75">
      <c r="A77" s="324" t="s">
        <v>3449</v>
      </c>
      <c r="B77" s="320"/>
      <c r="C77" s="320"/>
      <c r="D77" s="316"/>
      <c r="E77" s="468">
        <f>'Punten per wedstrijd'!E123*1.2</f>
        <v>439.20000000000005</v>
      </c>
      <c r="F77" s="468">
        <f>'Punten per wedstrijd'!E132</f>
        <v>198</v>
      </c>
      <c r="G77" s="313" t="s">
        <v>4555</v>
      </c>
      <c r="H77" s="320"/>
      <c r="I77" s="324" t="s">
        <v>3453</v>
      </c>
      <c r="J77" s="316"/>
      <c r="K77" s="317"/>
      <c r="L77" s="318"/>
      <c r="M77" s="468">
        <f>'Punten per wedstrijd'!E45*1.2</f>
        <v>92.400000000000063</v>
      </c>
      <c r="N77" s="468">
        <f>'Punten per wedstrijd'!E102</f>
        <v>0</v>
      </c>
      <c r="O77" s="313" t="s">
        <v>4555</v>
      </c>
      <c r="P77" s="320"/>
      <c r="Q77" s="324" t="s">
        <v>3458</v>
      </c>
      <c r="R77" s="317"/>
      <c r="S77" s="317"/>
      <c r="T77" s="317"/>
      <c r="U77" s="468">
        <f>'Punten per wedstrijd'!F123*1.2</f>
        <v>636.36000000000024</v>
      </c>
      <c r="V77" s="468">
        <f>'Punten per wedstrijd'!F149</f>
        <v>227.29999999999973</v>
      </c>
      <c r="W77" s="313" t="s">
        <v>4555</v>
      </c>
    </row>
    <row r="78" spans="1:26" ht="15.75">
      <c r="A78" s="324" t="s">
        <v>3450</v>
      </c>
      <c r="B78" s="320"/>
      <c r="C78" s="320"/>
      <c r="D78" s="316"/>
      <c r="E78" s="468">
        <f>'Punten per wedstrijd'!E137*1.2</f>
        <v>246.6</v>
      </c>
      <c r="F78" s="468">
        <f>'Punten per wedstrijd'!E169</f>
        <v>313.04999999999995</v>
      </c>
      <c r="G78" s="313" t="s">
        <v>4556</v>
      </c>
      <c r="H78" s="320"/>
      <c r="I78" s="324" t="s">
        <v>3454</v>
      </c>
      <c r="J78" s="316"/>
      <c r="K78" s="317"/>
      <c r="L78" s="318"/>
      <c r="M78" s="468">
        <f>'Punten per wedstrijd'!E65*1.2</f>
        <v>85.799999999999926</v>
      </c>
      <c r="N78" s="468">
        <f>'Punten per wedstrijd'!E37</f>
        <v>83.700000000000045</v>
      </c>
      <c r="O78" s="313" t="s">
        <v>4557</v>
      </c>
      <c r="P78" s="320"/>
      <c r="Q78" s="324" t="s">
        <v>3459</v>
      </c>
      <c r="R78" s="317"/>
      <c r="S78" s="317"/>
      <c r="T78" s="317"/>
      <c r="U78" s="468">
        <f>'Punten per wedstrijd'!F137*1.2</f>
        <v>839.87999999999977</v>
      </c>
      <c r="V78" s="468">
        <f>'Punten per wedstrijd'!F132</f>
        <v>584.79999999999973</v>
      </c>
      <c r="W78" s="313" t="s">
        <v>4555</v>
      </c>
    </row>
    <row r="79" spans="1:26" ht="15.75">
      <c r="A79" s="324" t="s">
        <v>3451</v>
      </c>
      <c r="B79" s="320"/>
      <c r="C79" s="320"/>
      <c r="D79" s="316"/>
      <c r="E79" s="468">
        <f>'Punten per wedstrijd'!E141*1.2</f>
        <v>436.7999999999999</v>
      </c>
      <c r="F79" s="468">
        <f>'Punten per wedstrijd'!E149</f>
        <v>144.19999999999999</v>
      </c>
      <c r="G79" s="313" t="s">
        <v>4555</v>
      </c>
      <c r="H79" s="320"/>
      <c r="I79" s="324" t="s">
        <v>3455</v>
      </c>
      <c r="J79" s="316"/>
      <c r="K79" s="317"/>
      <c r="L79" s="318"/>
      <c r="M79" s="468">
        <f>'Punten per wedstrijd'!E77*1.2</f>
        <v>198.4800000000001</v>
      </c>
      <c r="N79" s="468">
        <f>'Punten per wedstrijd'!E33</f>
        <v>208.90000000000003</v>
      </c>
      <c r="O79" s="313" t="s">
        <v>4554</v>
      </c>
      <c r="P79" s="320"/>
      <c r="Q79" s="324" t="s">
        <v>3460</v>
      </c>
      <c r="R79" s="317"/>
      <c r="S79" s="317"/>
      <c r="T79" s="317"/>
      <c r="U79" s="468">
        <f>'Punten per wedstrijd'!F181*1.2</f>
        <v>870.12000000000046</v>
      </c>
      <c r="V79" s="468">
        <f>'Punten per wedstrijd'!F169</f>
        <v>548.80000000000018</v>
      </c>
      <c r="W79" s="313" t="s">
        <v>4555</v>
      </c>
    </row>
    <row r="80" spans="1:26" ht="15.75">
      <c r="A80" s="324" t="s">
        <v>4553</v>
      </c>
      <c r="B80" s="320"/>
      <c r="C80" s="320"/>
      <c r="D80" s="316"/>
      <c r="E80" s="468">
        <f>'Punten per wedstrijd'!E206*1.2</f>
        <v>262.8</v>
      </c>
      <c r="F80" s="468">
        <f>'Punten per wedstrijd'!E200</f>
        <v>361</v>
      </c>
      <c r="G80" s="313" t="s">
        <v>4556</v>
      </c>
      <c r="H80" s="320"/>
      <c r="I80" s="324" t="s">
        <v>3456</v>
      </c>
      <c r="J80" s="316"/>
      <c r="K80" s="317"/>
      <c r="L80" s="318"/>
      <c r="M80" s="468">
        <f>'Punten per wedstrijd'!E96*1.2</f>
        <v>295.2</v>
      </c>
      <c r="N80" s="468">
        <f>'Punten per wedstrijd'!E19</f>
        <v>162.00000000000011</v>
      </c>
      <c r="O80" s="313" t="s">
        <v>4555</v>
      </c>
      <c r="P80" s="320"/>
      <c r="Q80" s="324" t="s">
        <v>3461</v>
      </c>
      <c r="R80" s="317"/>
      <c r="S80" s="317"/>
      <c r="T80" s="317"/>
      <c r="U80" s="468">
        <f>'Punten per wedstrijd'!F206*1.2</f>
        <v>704.15999999999963</v>
      </c>
      <c r="V80" s="468">
        <f>'Punten per wedstrijd'!F141</f>
        <v>453.10000000000036</v>
      </c>
      <c r="W80" s="313" t="s">
        <v>4555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0"/>
      <c r="N81" s="500"/>
      <c r="O81" s="314"/>
      <c r="P81" s="320"/>
      <c r="Q81" s="316"/>
      <c r="R81" s="317"/>
      <c r="S81" s="317"/>
      <c r="T81" s="317"/>
      <c r="U81" s="500"/>
      <c r="V81" s="500"/>
      <c r="W81" s="314"/>
    </row>
    <row r="82" spans="1:24" s="39" customFormat="1" ht="15.75">
      <c r="A82" s="319" t="s">
        <v>2210</v>
      </c>
      <c r="B82" s="444"/>
      <c r="C82" s="444"/>
      <c r="D82" s="445"/>
      <c r="E82" s="446"/>
      <c r="F82" s="446"/>
      <c r="G82" s="447" t="s">
        <v>150</v>
      </c>
      <c r="H82" s="444"/>
      <c r="I82" s="319" t="s">
        <v>186</v>
      </c>
      <c r="J82" s="445"/>
      <c r="K82" s="444"/>
      <c r="L82" s="318"/>
      <c r="M82" s="500"/>
      <c r="N82" s="500"/>
      <c r="O82" s="447" t="s">
        <v>150</v>
      </c>
      <c r="P82" s="444"/>
      <c r="Q82" s="319" t="s">
        <v>175</v>
      </c>
      <c r="R82" s="444"/>
      <c r="S82" s="444"/>
      <c r="T82" s="444"/>
      <c r="U82" s="500"/>
      <c r="V82" s="500"/>
      <c r="W82" s="447" t="s">
        <v>150</v>
      </c>
    </row>
    <row r="83" spans="1:24" ht="15.75">
      <c r="A83" s="324" t="s">
        <v>3503</v>
      </c>
      <c r="B83" s="320"/>
      <c r="C83" s="320"/>
      <c r="D83" s="316"/>
      <c r="E83" s="468">
        <f>'Punten per wedstrijd'!F28*1.2</f>
        <v>304.43999999999977</v>
      </c>
      <c r="F83" s="468">
        <f>'Punten per wedstrijd'!F77</f>
        <v>163</v>
      </c>
      <c r="G83" s="313" t="s">
        <v>4555</v>
      </c>
      <c r="H83" s="320"/>
      <c r="I83" s="324" t="s">
        <v>2301</v>
      </c>
      <c r="J83" s="316"/>
      <c r="K83" s="317"/>
      <c r="L83" s="318"/>
      <c r="M83" s="468">
        <f>'Punten per wedstrijd'!G9*1.2</f>
        <v>107.2800000000001</v>
      </c>
      <c r="N83" s="468">
        <f>'Punten per wedstrijd'!G37</f>
        <v>542.09999999999945</v>
      </c>
      <c r="O83" s="313" t="s">
        <v>4556</v>
      </c>
      <c r="P83" s="320"/>
      <c r="Q83" s="324" t="s">
        <v>3511</v>
      </c>
      <c r="R83" s="317"/>
      <c r="S83" s="317"/>
      <c r="T83" s="317"/>
      <c r="U83" s="468">
        <f>'Punten per wedstrijd'!G141*1.2</f>
        <v>1154.1599999999996</v>
      </c>
      <c r="V83" s="468">
        <f>'Punten per wedstrijd'!G137</f>
        <v>556.80000000000018</v>
      </c>
      <c r="W83" s="313" t="s">
        <v>4555</v>
      </c>
    </row>
    <row r="84" spans="1:24" ht="15.75">
      <c r="A84" s="324" t="s">
        <v>3504</v>
      </c>
      <c r="B84" s="320"/>
      <c r="C84" s="320"/>
      <c r="D84" s="316"/>
      <c r="E84" s="468">
        <f>'Punten per wedstrijd'!F37*1.2</f>
        <v>288.84000000000003</v>
      </c>
      <c r="F84" s="468">
        <f>'Punten per wedstrijd'!F19</f>
        <v>259.5</v>
      </c>
      <c r="G84" s="313" t="s">
        <v>4557</v>
      </c>
      <c r="H84" s="320"/>
      <c r="I84" s="324" t="s">
        <v>3508</v>
      </c>
      <c r="J84" s="316"/>
      <c r="K84" s="317"/>
      <c r="L84" s="318"/>
      <c r="M84" s="468">
        <f>'Punten per wedstrijd'!G19*1.2</f>
        <v>328.32000000000045</v>
      </c>
      <c r="N84" s="468">
        <f>'Punten per wedstrijd'!G102</f>
        <v>204.89999999999964</v>
      </c>
      <c r="O84" s="313" t="s">
        <v>4555</v>
      </c>
      <c r="P84" s="320"/>
      <c r="Q84" s="324" t="s">
        <v>3512</v>
      </c>
      <c r="R84" s="317"/>
      <c r="S84" s="317"/>
      <c r="T84" s="317"/>
      <c r="U84" s="468">
        <f>'Punten per wedstrijd'!G149*1.2</f>
        <v>835.91999999999985</v>
      </c>
      <c r="V84" s="468">
        <f>'Punten per wedstrijd'!G181</f>
        <v>887.70000000000027</v>
      </c>
      <c r="W84" s="313" t="s">
        <v>4554</v>
      </c>
    </row>
    <row r="85" spans="1:24" ht="15.75">
      <c r="A85" s="324" t="s">
        <v>3505</v>
      </c>
      <c r="B85" s="320"/>
      <c r="C85" s="320"/>
      <c r="D85" s="316"/>
      <c r="E85" s="468">
        <f>'Punten per wedstrijd'!F45*1.2</f>
        <v>407.99999999999972</v>
      </c>
      <c r="F85" s="468">
        <f>'Punten per wedstrijd'!F9</f>
        <v>174.5</v>
      </c>
      <c r="G85" s="313" t="s">
        <v>4555</v>
      </c>
      <c r="H85" s="320"/>
      <c r="I85" s="324" t="s">
        <v>3509</v>
      </c>
      <c r="J85" s="316"/>
      <c r="K85" s="317"/>
      <c r="L85" s="318"/>
      <c r="M85" s="468">
        <f>'Punten per wedstrijd'!G28*1.2</f>
        <v>504.59999999999945</v>
      </c>
      <c r="N85" s="468">
        <f>'Punten per wedstrijd'!G65</f>
        <v>183</v>
      </c>
      <c r="O85" s="313" t="s">
        <v>4555</v>
      </c>
      <c r="P85" s="320"/>
      <c r="Q85" s="324" t="s">
        <v>3513</v>
      </c>
      <c r="R85" s="317"/>
      <c r="S85" s="317"/>
      <c r="T85" s="317"/>
      <c r="U85" s="468">
        <f>'Punten per wedstrijd'!G169*1.2</f>
        <v>988.6799999999995</v>
      </c>
      <c r="V85" s="468">
        <f>'Punten per wedstrijd'!G123</f>
        <v>1211.0999999999985</v>
      </c>
      <c r="W85" s="313" t="s">
        <v>4554</v>
      </c>
    </row>
    <row r="86" spans="1:24" ht="15.75">
      <c r="A86" s="324" t="s">
        <v>3506</v>
      </c>
      <c r="B86" s="320"/>
      <c r="C86" s="320"/>
      <c r="D86" s="316"/>
      <c r="E86" s="468">
        <f>'Punten per wedstrijd'!F65*1.2</f>
        <v>696.3599999999999</v>
      </c>
      <c r="F86" s="468">
        <f>'Punten per wedstrijd'!F102</f>
        <v>181.09999999999991</v>
      </c>
      <c r="G86" s="313" t="s">
        <v>4555</v>
      </c>
      <c r="H86" s="320"/>
      <c r="I86" s="324" t="s">
        <v>3510</v>
      </c>
      <c r="J86" s="316"/>
      <c r="K86" s="317"/>
      <c r="L86" s="318"/>
      <c r="M86" s="468">
        <f>'Punten per wedstrijd'!G33*1.2</f>
        <v>350.99999999999943</v>
      </c>
      <c r="N86" s="468">
        <f>'Punten per wedstrijd'!G45</f>
        <v>85.399999999999636</v>
      </c>
      <c r="O86" s="313" t="s">
        <v>4555</v>
      </c>
      <c r="P86" s="320"/>
      <c r="Q86" s="324" t="s">
        <v>3514</v>
      </c>
      <c r="R86" s="317"/>
      <c r="S86" s="317"/>
      <c r="T86" s="317"/>
      <c r="U86" s="468">
        <f>'Punten per wedstrijd'!G200*1.2</f>
        <v>1232.4000000000005</v>
      </c>
      <c r="V86" s="468">
        <f>'Punten per wedstrijd'!G132</f>
        <v>613.40000000000009</v>
      </c>
      <c r="W86" s="313" t="s">
        <v>4555</v>
      </c>
    </row>
    <row r="87" spans="1:24" ht="15.75">
      <c r="A87" s="324" t="s">
        <v>3507</v>
      </c>
      <c r="B87" s="320"/>
      <c r="C87" s="320"/>
      <c r="D87" s="316"/>
      <c r="E87" s="468">
        <f>'Punten per wedstrijd'!F96*1.2</f>
        <v>339.95999999999992</v>
      </c>
      <c r="F87" s="468">
        <f>'Punten per wedstrijd'!F33</f>
        <v>317.99999999999977</v>
      </c>
      <c r="G87" s="313" t="s">
        <v>4557</v>
      </c>
      <c r="H87" s="320"/>
      <c r="I87" s="324" t="s">
        <v>2529</v>
      </c>
      <c r="J87" s="316"/>
      <c r="K87" s="317"/>
      <c r="L87" s="318"/>
      <c r="M87" s="468">
        <f>'Punten per wedstrijd'!G77*1.2</f>
        <v>291.36000000000075</v>
      </c>
      <c r="N87" s="468">
        <f>'Punten per wedstrijd'!G96</f>
        <v>307.30000000000018</v>
      </c>
      <c r="O87" s="313" t="s">
        <v>4554</v>
      </c>
      <c r="P87" s="320"/>
      <c r="Q87" s="324" t="s">
        <v>3515</v>
      </c>
      <c r="R87" s="317"/>
      <c r="S87" s="317"/>
      <c r="T87" s="317"/>
      <c r="U87" s="468">
        <f>'Punten per wedstrijd'!G206*1.2</f>
        <v>1104.7199999999993</v>
      </c>
      <c r="V87" s="468">
        <f>'Punten per wedstrijd'!G113</f>
        <v>903.5</v>
      </c>
      <c r="W87" s="313" t="s">
        <v>4557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0"/>
      <c r="N88" s="500"/>
      <c r="O88" s="314"/>
      <c r="P88" s="320"/>
      <c r="Q88" s="317"/>
      <c r="R88" s="317"/>
      <c r="S88" s="317"/>
      <c r="T88" s="317"/>
      <c r="U88" s="500"/>
      <c r="V88" s="500"/>
      <c r="W88" s="314"/>
    </row>
    <row r="89" spans="1:24" s="39" customFormat="1" ht="15.75">
      <c r="A89" s="319" t="s">
        <v>187</v>
      </c>
      <c r="B89" s="444"/>
      <c r="C89" s="444"/>
      <c r="D89" s="445"/>
      <c r="E89" s="446"/>
      <c r="F89" s="446"/>
      <c r="G89" s="447" t="s">
        <v>150</v>
      </c>
      <c r="H89" s="444"/>
      <c r="I89" s="319" t="s">
        <v>188</v>
      </c>
      <c r="J89" s="445"/>
      <c r="K89" s="444"/>
      <c r="L89" s="318"/>
      <c r="M89" s="500"/>
      <c r="N89" s="500"/>
      <c r="O89" s="447" t="s">
        <v>150</v>
      </c>
      <c r="P89" s="444"/>
      <c r="Q89" s="319" t="s">
        <v>2211</v>
      </c>
      <c r="R89" s="444"/>
      <c r="S89" s="444"/>
      <c r="T89" s="444"/>
      <c r="U89" s="500"/>
      <c r="V89" s="500"/>
      <c r="W89" s="447" t="s">
        <v>150</v>
      </c>
    </row>
    <row r="90" spans="1:24" ht="15.75">
      <c r="A90" s="324" t="s">
        <v>3516</v>
      </c>
      <c r="B90" s="320"/>
      <c r="C90" s="320"/>
      <c r="D90" s="316"/>
      <c r="E90" s="468">
        <f>'Punten per wedstrijd'!H113*1.2</f>
        <v>892.91999999999985</v>
      </c>
      <c r="F90" s="468">
        <f>'Punten per wedstrijd'!H123</f>
        <v>620.39999999999918</v>
      </c>
      <c r="G90" s="313" t="s">
        <v>4555</v>
      </c>
      <c r="H90" s="320"/>
      <c r="I90" s="324" t="s">
        <v>3521</v>
      </c>
      <c r="J90" s="316"/>
      <c r="K90" s="317"/>
      <c r="L90" s="318"/>
      <c r="M90" s="468">
        <f>'Punten per wedstrijd'!H9*1.2</f>
        <v>657.41999999999825</v>
      </c>
      <c r="N90" s="468">
        <f>'Punten per wedstrijd'!H65</f>
        <v>677.09999999999945</v>
      </c>
      <c r="O90" s="313" t="s">
        <v>4554</v>
      </c>
      <c r="P90" s="320"/>
      <c r="Q90" s="324" t="s">
        <v>3526</v>
      </c>
      <c r="R90" s="317"/>
      <c r="S90" s="317"/>
      <c r="T90" s="317"/>
      <c r="U90" s="468">
        <f>'Punten per wedstrijd'!I132*1.2</f>
        <v>958.92000000000144</v>
      </c>
      <c r="V90" s="468">
        <f>'Punten per wedstrijd'!I206</f>
        <v>1039.7999999999993</v>
      </c>
      <c r="W90" s="313" t="s">
        <v>4554</v>
      </c>
    </row>
    <row r="91" spans="1:24" ht="15.75">
      <c r="A91" s="324" t="s">
        <v>3517</v>
      </c>
      <c r="B91" s="320"/>
      <c r="C91" s="320"/>
      <c r="D91" s="316"/>
      <c r="E91" s="468">
        <f>'Punten per wedstrijd'!H132*1.2</f>
        <v>527.88000000000011</v>
      </c>
      <c r="F91" s="468">
        <f>'Punten per wedstrijd'!H149</f>
        <v>385.49999999999955</v>
      </c>
      <c r="G91" s="313" t="s">
        <v>4555</v>
      </c>
      <c r="H91" s="320"/>
      <c r="I91" s="324" t="s">
        <v>3522</v>
      </c>
      <c r="J91" s="316"/>
      <c r="K91" s="317"/>
      <c r="L91" s="318"/>
      <c r="M91" s="468">
        <f>'Punten per wedstrijd'!H19*1.2</f>
        <v>731.52000000000146</v>
      </c>
      <c r="N91" s="468">
        <f>'Punten per wedstrijd'!H33</f>
        <v>481.05000000000018</v>
      </c>
      <c r="O91" s="313" t="s">
        <v>4555</v>
      </c>
      <c r="P91" s="320"/>
      <c r="Q91" s="324" t="s">
        <v>3527</v>
      </c>
      <c r="R91" s="317"/>
      <c r="S91" s="317"/>
      <c r="T91" s="317"/>
      <c r="U91" s="468">
        <f>'Punten per wedstrijd'!I137*1.2</f>
        <v>1088.6399999999996</v>
      </c>
      <c r="V91" s="468">
        <f>'Punten per wedstrijd'!I113</f>
        <v>881.59999999999673</v>
      </c>
      <c r="W91" s="313" t="s">
        <v>4557</v>
      </c>
    </row>
    <row r="92" spans="1:24" ht="15.75">
      <c r="A92" s="324" t="s">
        <v>3518</v>
      </c>
      <c r="B92" s="320"/>
      <c r="C92" s="320"/>
      <c r="D92" s="316"/>
      <c r="E92" s="468">
        <f>'Punten per wedstrijd'!H137*1.2</f>
        <v>686.69999999999993</v>
      </c>
      <c r="F92" s="468">
        <f>'Punten per wedstrijd'!H206</f>
        <v>513.80000000000018</v>
      </c>
      <c r="G92" s="313" t="s">
        <v>4555</v>
      </c>
      <c r="H92" s="320"/>
      <c r="I92" s="324" t="s">
        <v>3523</v>
      </c>
      <c r="J92" s="316"/>
      <c r="K92" s="317"/>
      <c r="L92" s="318"/>
      <c r="M92" s="468">
        <f>'Punten per wedstrijd'!H37*1.2</f>
        <v>518.87999999999954</v>
      </c>
      <c r="N92" s="468">
        <f>'Punten per wedstrijd'!H28</f>
        <v>487.5</v>
      </c>
      <c r="O92" s="313" t="s">
        <v>4557</v>
      </c>
      <c r="P92" s="320"/>
      <c r="Q92" s="324" t="s">
        <v>3528</v>
      </c>
      <c r="R92" s="317"/>
      <c r="S92" s="317"/>
      <c r="T92" s="317"/>
      <c r="U92" s="468">
        <f>'Punten per wedstrijd'!I169*1.2</f>
        <v>667.62000000000046</v>
      </c>
      <c r="V92" s="468">
        <f>'Punten per wedstrijd'!I149</f>
        <v>379.600000000004</v>
      </c>
      <c r="W92" s="313" t="s">
        <v>4555</v>
      </c>
    </row>
    <row r="93" spans="1:24" ht="15.75">
      <c r="A93" s="324" t="s">
        <v>3519</v>
      </c>
      <c r="B93" s="320"/>
      <c r="C93" s="320"/>
      <c r="D93" s="316"/>
      <c r="E93" s="468">
        <f>'Punten per wedstrijd'!H181*1.2</f>
        <v>1018.4400000000003</v>
      </c>
      <c r="F93" s="468">
        <f>'Punten per wedstrijd'!H141</f>
        <v>837.89999999999964</v>
      </c>
      <c r="G93" s="313" t="s">
        <v>4557</v>
      </c>
      <c r="I93" s="324" t="s">
        <v>3524</v>
      </c>
      <c r="J93" s="316"/>
      <c r="K93" s="317"/>
      <c r="L93" s="318"/>
      <c r="M93" s="468">
        <f>'Punten per wedstrijd'!H45*1.2</f>
        <v>669.47999999999956</v>
      </c>
      <c r="N93" s="468">
        <f>'Punten per wedstrijd'!H96</f>
        <v>545.30000000000291</v>
      </c>
      <c r="O93" s="313" t="s">
        <v>4557</v>
      </c>
      <c r="P93" s="320"/>
      <c r="Q93" s="324" t="s">
        <v>3529</v>
      </c>
      <c r="R93" s="317"/>
      <c r="S93" s="317"/>
      <c r="T93" s="317"/>
      <c r="U93" s="468">
        <f>'Punten per wedstrijd'!I181*1.2</f>
        <v>1363.3199999999993</v>
      </c>
      <c r="V93" s="468">
        <f>'Punten per wedstrijd'!I123</f>
        <v>988.70000000000255</v>
      </c>
      <c r="W93" s="313" t="s">
        <v>4555</v>
      </c>
    </row>
    <row r="94" spans="1:24" ht="15.75">
      <c r="A94" s="324" t="s">
        <v>3520</v>
      </c>
      <c r="B94" s="320"/>
      <c r="C94" s="320"/>
      <c r="D94" s="316"/>
      <c r="E94" s="468">
        <f>'Punten per wedstrijd'!H200*1.2</f>
        <v>932.16000000000292</v>
      </c>
      <c r="F94" s="468">
        <f>'Punten per wedstrijd'!H169</f>
        <v>245.099999999999</v>
      </c>
      <c r="G94" s="313" t="s">
        <v>4555</v>
      </c>
      <c r="H94" s="316"/>
      <c r="I94" s="324" t="s">
        <v>3525</v>
      </c>
      <c r="J94" s="316"/>
      <c r="K94" s="317"/>
      <c r="L94" s="318"/>
      <c r="M94" s="468">
        <f>'Punten per wedstrijd'!H102*1.2</f>
        <v>496.79999999999944</v>
      </c>
      <c r="N94" s="468">
        <f>'Punten per wedstrijd'!H77</f>
        <v>376.39999999999964</v>
      </c>
      <c r="O94" s="313" t="s">
        <v>4555</v>
      </c>
      <c r="P94" s="317"/>
      <c r="Q94" s="324" t="s">
        <v>3530</v>
      </c>
      <c r="R94" s="317"/>
      <c r="S94" s="317"/>
      <c r="T94" s="317"/>
      <c r="U94" s="468">
        <f>'Punten per wedstrijd'!I200*1.2</f>
        <v>1272.7200000000005</v>
      </c>
      <c r="V94" s="468">
        <f>'Punten per wedstrijd'!I141</f>
        <v>833.00000000000091</v>
      </c>
      <c r="W94" s="313" t="s">
        <v>4555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0"/>
      <c r="N95" s="500"/>
      <c r="O95" s="314"/>
      <c r="P95" s="317"/>
      <c r="Q95" s="315"/>
      <c r="R95" s="317"/>
      <c r="S95" s="317"/>
      <c r="T95" s="317"/>
      <c r="U95" s="500"/>
      <c r="V95" s="500"/>
      <c r="W95" s="314"/>
      <c r="X95" s="28"/>
    </row>
    <row r="96" spans="1:24" s="39" customFormat="1" ht="15.75">
      <c r="A96" s="319" t="s">
        <v>2212</v>
      </c>
      <c r="B96" s="444"/>
      <c r="C96" s="444"/>
      <c r="D96" s="445"/>
      <c r="E96" s="446"/>
      <c r="F96" s="446"/>
      <c r="G96" s="447" t="s">
        <v>150</v>
      </c>
      <c r="H96" s="444"/>
      <c r="I96" s="319" t="s">
        <v>3536</v>
      </c>
      <c r="J96" s="445"/>
      <c r="K96" s="444"/>
      <c r="L96" s="318"/>
      <c r="M96" s="500"/>
      <c r="N96" s="500"/>
      <c r="O96" s="447" t="s">
        <v>150</v>
      </c>
      <c r="P96" s="444"/>
      <c r="Q96" s="319" t="s">
        <v>3537</v>
      </c>
      <c r="R96" s="444"/>
      <c r="S96" s="444"/>
      <c r="T96" s="444"/>
      <c r="U96" s="500"/>
      <c r="V96" s="500"/>
      <c r="W96" s="447" t="s">
        <v>150</v>
      </c>
    </row>
    <row r="97" spans="1:24" ht="15.75">
      <c r="A97" s="324" t="s">
        <v>3531</v>
      </c>
      <c r="B97" s="320"/>
      <c r="C97" s="320"/>
      <c r="D97" s="316"/>
      <c r="E97" s="468">
        <f>'Punten per wedstrijd'!I77*1.2</f>
        <v>152.4</v>
      </c>
      <c r="F97" s="468">
        <f>'Punten per wedstrijd'!I9</f>
        <v>437.3</v>
      </c>
      <c r="G97" s="313" t="s">
        <v>4556</v>
      </c>
      <c r="H97" s="320"/>
      <c r="I97" s="324" t="s">
        <v>3538</v>
      </c>
      <c r="J97" s="316"/>
      <c r="K97" s="317"/>
      <c r="L97" s="318"/>
      <c r="M97" s="468">
        <f>'Punten per wedstrijd'!J9*1.2</f>
        <v>593.1</v>
      </c>
      <c r="N97" s="468">
        <f>'Punten per wedstrijd'!J28</f>
        <v>431.7</v>
      </c>
      <c r="O97" s="313" t="s">
        <v>4555</v>
      </c>
      <c r="P97" s="320"/>
      <c r="Q97" s="324" t="s">
        <v>3543</v>
      </c>
      <c r="R97" s="317"/>
      <c r="S97" s="317"/>
      <c r="T97" s="317"/>
      <c r="U97" s="468">
        <f>'Punten per wedstrijd'!K96*1.2</f>
        <v>411.72</v>
      </c>
      <c r="V97" s="468">
        <f>'Punten per wedstrijd'!K9</f>
        <v>226.1</v>
      </c>
      <c r="W97" s="313" t="s">
        <v>4555</v>
      </c>
      <c r="X97" s="28"/>
    </row>
    <row r="98" spans="1:24" ht="15.75">
      <c r="A98" s="324" t="s">
        <v>3532</v>
      </c>
      <c r="B98" s="320"/>
      <c r="C98" s="320"/>
      <c r="D98" s="316"/>
      <c r="E98" s="468">
        <f>'Punten per wedstrijd'!I28*1.2</f>
        <v>156</v>
      </c>
      <c r="F98" s="468">
        <f>'Punten per wedstrijd'!I19</f>
        <v>471.09999999999997</v>
      </c>
      <c r="G98" s="313" t="s">
        <v>4556</v>
      </c>
      <c r="H98" s="320"/>
      <c r="I98" s="324" t="s">
        <v>3539</v>
      </c>
      <c r="J98" s="316"/>
      <c r="K98" s="317"/>
      <c r="L98" s="318"/>
      <c r="M98" s="468">
        <f>'Punten per wedstrijd'!J102*1.2</f>
        <v>468.71999999999991</v>
      </c>
      <c r="N98" s="468">
        <f>'Punten per wedstrijd'!J45</f>
        <v>496.5</v>
      </c>
      <c r="O98" s="313" t="s">
        <v>4554</v>
      </c>
      <c r="P98" s="320"/>
      <c r="Q98" s="324" t="s">
        <v>3544</v>
      </c>
      <c r="R98" s="317"/>
      <c r="S98" s="317"/>
      <c r="T98" s="317"/>
      <c r="U98" s="468">
        <f>'Punten per wedstrijd'!K45*1.2</f>
        <v>400.56</v>
      </c>
      <c r="V98" s="468">
        <f>'Punten per wedstrijd'!K19</f>
        <v>376.4</v>
      </c>
      <c r="W98" s="313" t="s">
        <v>4557</v>
      </c>
      <c r="X98" s="28"/>
    </row>
    <row r="99" spans="1:24" ht="15.75">
      <c r="A99" s="324" t="s">
        <v>3533</v>
      </c>
      <c r="B99" s="320"/>
      <c r="C99" s="320"/>
      <c r="D99" s="316"/>
      <c r="E99" s="468">
        <f>'Punten per wedstrijd'!I65*1.2</f>
        <v>589.43999999999994</v>
      </c>
      <c r="F99" s="468">
        <f>'Punten per wedstrijd'!I33</f>
        <v>179.89999999999998</v>
      </c>
      <c r="G99" s="313" t="s">
        <v>4555</v>
      </c>
      <c r="H99" s="320"/>
      <c r="I99" s="324" t="s">
        <v>3540</v>
      </c>
      <c r="J99" s="316"/>
      <c r="K99" s="317"/>
      <c r="L99" s="318"/>
      <c r="M99" s="468">
        <f>'Punten per wedstrijd'!J37*1.2</f>
        <v>425.64</v>
      </c>
      <c r="N99" s="468">
        <f>'Punten per wedstrijd'!J65</f>
        <v>613.9</v>
      </c>
      <c r="O99" s="313" t="s">
        <v>4556</v>
      </c>
      <c r="P99" s="320"/>
      <c r="Q99" s="324" t="s">
        <v>3545</v>
      </c>
      <c r="R99" s="317"/>
      <c r="S99" s="317"/>
      <c r="T99" s="317"/>
      <c r="U99" s="468">
        <f>'Punten per wedstrijd'!K28*1.2</f>
        <v>360.96</v>
      </c>
      <c r="V99" s="468">
        <f>'Punten per wedstrijd'!K33</f>
        <v>210.5</v>
      </c>
      <c r="W99" s="313" t="s">
        <v>4555</v>
      </c>
      <c r="X99" s="28"/>
    </row>
    <row r="100" spans="1:24" ht="15.75">
      <c r="A100" s="324" t="s">
        <v>3534</v>
      </c>
      <c r="B100" s="320"/>
      <c r="C100" s="320"/>
      <c r="D100" s="316"/>
      <c r="E100" s="468">
        <f>'Punten per wedstrijd'!I45*1.2</f>
        <v>316.31999999999994</v>
      </c>
      <c r="F100" s="468">
        <f>'Punten per wedstrijd'!I37</f>
        <v>279</v>
      </c>
      <c r="G100" s="313" t="s">
        <v>4557</v>
      </c>
      <c r="H100" s="320"/>
      <c r="I100" s="324" t="s">
        <v>3541</v>
      </c>
      <c r="J100" s="316"/>
      <c r="K100" s="317"/>
      <c r="L100" s="318"/>
      <c r="M100" s="468">
        <f>'Punten per wedstrijd'!J33*1.2</f>
        <v>625.79999999999995</v>
      </c>
      <c r="N100" s="468">
        <f>'Punten per wedstrijd'!J77</f>
        <v>284.89999999999998</v>
      </c>
      <c r="O100" s="313" t="s">
        <v>4555</v>
      </c>
      <c r="P100" s="320"/>
      <c r="Q100" s="324" t="s">
        <v>3546</v>
      </c>
      <c r="R100" s="317"/>
      <c r="S100" s="317"/>
      <c r="T100" s="317"/>
      <c r="U100" s="468">
        <f>'Punten per wedstrijd'!K65*1.2</f>
        <v>500.15999999999997</v>
      </c>
      <c r="V100" s="468">
        <f>'Punten per wedstrijd'!K77</f>
        <v>149.5</v>
      </c>
      <c r="W100" s="313" t="s">
        <v>4555</v>
      </c>
      <c r="X100" s="28"/>
    </row>
    <row r="101" spans="1:24" ht="15.75">
      <c r="A101" s="324" t="s">
        <v>3535</v>
      </c>
      <c r="B101" s="320"/>
      <c r="C101" s="320"/>
      <c r="D101" s="316"/>
      <c r="E101" s="468">
        <f>'Punten per wedstrijd'!I96*1.2</f>
        <v>328.56</v>
      </c>
      <c r="F101" s="468">
        <f>'Punten per wedstrijd'!I102</f>
        <v>131.4</v>
      </c>
      <c r="G101" s="313" t="s">
        <v>4555</v>
      </c>
      <c r="H101" s="320"/>
      <c r="I101" s="324" t="s">
        <v>3542</v>
      </c>
      <c r="J101" s="316"/>
      <c r="K101" s="317"/>
      <c r="L101" s="318"/>
      <c r="M101" s="468">
        <f>'Punten per wedstrijd'!J19*1.2</f>
        <v>701.52</v>
      </c>
      <c r="N101" s="468">
        <f>'Punten per wedstrijd'!J96</f>
        <v>452.5</v>
      </c>
      <c r="O101" s="313" t="s">
        <v>4555</v>
      </c>
      <c r="P101" s="320"/>
      <c r="Q101" s="324" t="s">
        <v>3547</v>
      </c>
      <c r="R101" s="317"/>
      <c r="S101" s="317"/>
      <c r="T101" s="317"/>
      <c r="U101" s="468">
        <f>'Punten per wedstrijd'!K37*1.2</f>
        <v>541.20000000000005</v>
      </c>
      <c r="V101" s="468">
        <f>'Punten per wedstrijd'!K102</f>
        <v>118.5</v>
      </c>
      <c r="W101" s="313" t="s">
        <v>4555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0"/>
      <c r="N102" s="500"/>
      <c r="O102" s="314"/>
      <c r="P102" s="320"/>
      <c r="Q102" s="316"/>
      <c r="R102" s="317"/>
      <c r="S102" s="317"/>
      <c r="T102" s="317"/>
      <c r="U102" s="500"/>
      <c r="V102" s="500"/>
      <c r="W102" s="314"/>
      <c r="X102" s="28"/>
    </row>
    <row r="103" spans="1:24" s="39" customFormat="1" ht="15.75">
      <c r="A103" s="319" t="s">
        <v>191</v>
      </c>
      <c r="B103" s="444"/>
      <c r="C103" s="444"/>
      <c r="D103" s="445"/>
      <c r="E103" s="446"/>
      <c r="F103" s="446"/>
      <c r="G103" s="447" t="s">
        <v>150</v>
      </c>
      <c r="H103" s="444"/>
      <c r="I103" s="319" t="s">
        <v>192</v>
      </c>
      <c r="J103" s="445"/>
      <c r="K103" s="444"/>
      <c r="L103" s="318"/>
      <c r="M103" s="500"/>
      <c r="N103" s="500"/>
      <c r="O103" s="447" t="s">
        <v>150</v>
      </c>
      <c r="P103" s="444"/>
      <c r="Q103" s="319" t="s">
        <v>195</v>
      </c>
      <c r="R103" s="444"/>
      <c r="S103" s="444"/>
      <c r="T103" s="444"/>
      <c r="U103" s="500"/>
      <c r="V103" s="500"/>
      <c r="W103" s="447" t="s">
        <v>150</v>
      </c>
    </row>
    <row r="104" spans="1:24" ht="15.75">
      <c r="A104" s="324" t="s">
        <v>3548</v>
      </c>
      <c r="B104" s="320"/>
      <c r="C104" s="320"/>
      <c r="D104" s="316"/>
      <c r="E104" s="530">
        <f>'Punten per wedstrijd'!L77*1.2</f>
        <v>122.39999999999999</v>
      </c>
      <c r="F104" s="530">
        <f>'Punten per wedstrijd'!L28</f>
        <v>183.3</v>
      </c>
      <c r="G104" s="313" t="s">
        <v>4556</v>
      </c>
      <c r="H104" s="320"/>
      <c r="I104" s="324" t="s">
        <v>2306</v>
      </c>
      <c r="J104" s="316"/>
      <c r="K104" s="317"/>
      <c r="L104" s="318"/>
      <c r="M104" s="468">
        <f>'Punten per wedstrijd'!M37*1.2</f>
        <v>484.31999999999823</v>
      </c>
      <c r="N104" s="468">
        <f>'Punten per wedstrijd'!M9</f>
        <v>522.99999999999818</v>
      </c>
      <c r="O104" s="313" t="s">
        <v>4554</v>
      </c>
      <c r="P104" s="320"/>
      <c r="Q104" s="324" t="s">
        <v>3555</v>
      </c>
      <c r="R104" s="317"/>
      <c r="S104" s="317"/>
      <c r="T104" s="317"/>
      <c r="U104" s="468"/>
      <c r="V104" s="468"/>
      <c r="W104" s="314"/>
      <c r="X104" s="28"/>
    </row>
    <row r="105" spans="1:24" ht="15.75">
      <c r="A105" s="324" t="s">
        <v>3549</v>
      </c>
      <c r="B105" s="320"/>
      <c r="C105" s="320"/>
      <c r="D105" s="316"/>
      <c r="E105" s="530">
        <f>'Punten per wedstrijd'!L19*1.2</f>
        <v>229.79999999999998</v>
      </c>
      <c r="F105" s="530">
        <f>'Punten per wedstrijd'!L37</f>
        <v>210</v>
      </c>
      <c r="G105" s="313" t="s">
        <v>4557</v>
      </c>
      <c r="H105" s="320"/>
      <c r="I105" s="324" t="s">
        <v>3551</v>
      </c>
      <c r="J105" s="316"/>
      <c r="K105" s="317"/>
      <c r="L105" s="318"/>
      <c r="M105" s="468">
        <f>'Punten per wedstrijd'!M102*1.2</f>
        <v>664.56000000000017</v>
      </c>
      <c r="N105" s="468">
        <f>'Punten per wedstrijd'!M19</f>
        <v>514.40000000000146</v>
      </c>
      <c r="O105" s="313" t="s">
        <v>4555</v>
      </c>
      <c r="P105" s="320"/>
      <c r="Q105" s="324" t="s">
        <v>3556</v>
      </c>
      <c r="R105" s="317"/>
      <c r="S105" s="317"/>
      <c r="T105" s="317"/>
      <c r="U105" s="468"/>
      <c r="V105" s="468"/>
      <c r="W105" s="314"/>
      <c r="X105" s="28"/>
    </row>
    <row r="106" spans="1:24" ht="15.75">
      <c r="A106" s="324" t="s">
        <v>3550</v>
      </c>
      <c r="B106" s="320"/>
      <c r="C106" s="320"/>
      <c r="D106" s="316"/>
      <c r="E106" s="530">
        <f>'Punten per wedstrijd'!L9*1.2</f>
        <v>194.76000000000002</v>
      </c>
      <c r="F106" s="530">
        <f>'Punten per wedstrijd'!L45</f>
        <v>176.9</v>
      </c>
      <c r="G106" s="313" t="s">
        <v>4557</v>
      </c>
      <c r="H106" s="320"/>
      <c r="I106" s="324" t="s">
        <v>3552</v>
      </c>
      <c r="J106" s="316"/>
      <c r="K106" s="317"/>
      <c r="L106" s="318"/>
      <c r="M106" s="468">
        <f>'Punten per wedstrijd'!M65*1.2</f>
        <v>712.43999999999971</v>
      </c>
      <c r="N106" s="468">
        <f>'Punten per wedstrijd'!M28</f>
        <v>600.10000000000127</v>
      </c>
      <c r="O106" s="313" t="s">
        <v>4557</v>
      </c>
      <c r="P106" s="320"/>
      <c r="Q106" s="324" t="s">
        <v>3557</v>
      </c>
      <c r="R106" s="317"/>
      <c r="S106" s="317"/>
      <c r="T106" s="317"/>
      <c r="U106" s="468"/>
      <c r="V106" s="468"/>
      <c r="W106" s="314"/>
      <c r="X106" s="28"/>
    </row>
    <row r="107" spans="1:24" ht="15.75">
      <c r="A107" s="324" t="s">
        <v>5103</v>
      </c>
      <c r="B107" s="320"/>
      <c r="C107" s="320"/>
      <c r="D107" s="316"/>
      <c r="E107" s="530">
        <f>'Punten per wedstrijd'!L102*1.2</f>
        <v>205.92</v>
      </c>
      <c r="F107" s="530">
        <f>'Punten per wedstrijd'!L65</f>
        <v>437</v>
      </c>
      <c r="G107" s="313" t="s">
        <v>4556</v>
      </c>
      <c r="H107" s="320"/>
      <c r="I107" s="324" t="s">
        <v>3553</v>
      </c>
      <c r="J107" s="316"/>
      <c r="K107" s="317"/>
      <c r="L107" s="318"/>
      <c r="M107" s="468">
        <f>'Punten per wedstrijd'!M45*1.2</f>
        <v>595.92000000000371</v>
      </c>
      <c r="N107" s="468">
        <f>'Punten per wedstrijd'!M33</f>
        <v>531.05000000000018</v>
      </c>
      <c r="O107" s="313" t="s">
        <v>4557</v>
      </c>
      <c r="P107" s="320"/>
      <c r="Q107" s="324" t="s">
        <v>3558</v>
      </c>
      <c r="R107" s="317"/>
      <c r="S107" s="317"/>
      <c r="T107" s="317"/>
      <c r="U107" s="468"/>
      <c r="V107" s="468"/>
      <c r="W107" s="314"/>
      <c r="X107" s="28"/>
    </row>
    <row r="108" spans="1:24" ht="15.75">
      <c r="A108" s="324" t="s">
        <v>5102</v>
      </c>
      <c r="B108" s="320"/>
      <c r="C108" s="320"/>
      <c r="D108" s="316"/>
      <c r="E108" s="530">
        <f>'Punten per wedstrijd'!L33*1.2</f>
        <v>99</v>
      </c>
      <c r="F108" s="530">
        <f>'Punten per wedstrijd'!L96</f>
        <v>150.5</v>
      </c>
      <c r="G108" s="313" t="s">
        <v>4556</v>
      </c>
      <c r="H108" s="320"/>
      <c r="I108" s="324" t="s">
        <v>3554</v>
      </c>
      <c r="J108" s="316"/>
      <c r="K108" s="317"/>
      <c r="L108" s="318"/>
      <c r="M108" s="468">
        <f>'Punten per wedstrijd'!M96*1.2</f>
        <v>627</v>
      </c>
      <c r="N108" s="468">
        <f>'Punten per wedstrijd'!M77</f>
        <v>376</v>
      </c>
      <c r="O108" s="313" t="s">
        <v>4555</v>
      </c>
      <c r="P108" s="320"/>
      <c r="Q108" s="324" t="s">
        <v>3559</v>
      </c>
      <c r="R108" s="317"/>
      <c r="S108" s="317"/>
      <c r="T108" s="317"/>
      <c r="U108" s="468"/>
      <c r="V108" s="468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0"/>
      <c r="N109" s="500"/>
      <c r="O109" s="314"/>
      <c r="P109" s="320"/>
      <c r="Q109" s="317"/>
      <c r="R109" s="317"/>
      <c r="S109" s="317"/>
      <c r="T109" s="317"/>
      <c r="U109" s="500"/>
      <c r="V109" s="500"/>
      <c r="W109" s="314"/>
      <c r="X109" s="28"/>
    </row>
    <row r="110" spans="1:24" s="39" customFormat="1" ht="15.75">
      <c r="A110" s="319" t="s">
        <v>193</v>
      </c>
      <c r="B110" s="444"/>
      <c r="C110" s="444"/>
      <c r="D110" s="445"/>
      <c r="E110" s="446"/>
      <c r="F110" s="446"/>
      <c r="G110" s="447" t="s">
        <v>150</v>
      </c>
      <c r="H110" s="444"/>
      <c r="I110" s="319" t="s">
        <v>194</v>
      </c>
      <c r="J110" s="445"/>
      <c r="K110" s="444"/>
      <c r="L110" s="318"/>
      <c r="M110" s="500"/>
      <c r="N110" s="500"/>
      <c r="O110" s="447" t="s">
        <v>150</v>
      </c>
      <c r="P110" s="444"/>
      <c r="Q110" s="319" t="s">
        <v>176</v>
      </c>
      <c r="R110" s="444"/>
      <c r="S110" s="444"/>
      <c r="T110" s="444"/>
      <c r="U110" s="500"/>
      <c r="V110" s="500"/>
      <c r="W110" s="447" t="s">
        <v>150</v>
      </c>
    </row>
    <row r="111" spans="1:24" ht="15.75">
      <c r="A111" s="324" t="s">
        <v>3560</v>
      </c>
      <c r="B111" s="320"/>
      <c r="C111" s="320"/>
      <c r="D111" s="316"/>
      <c r="E111" s="311"/>
      <c r="F111" s="311"/>
      <c r="G111" s="314"/>
      <c r="H111" s="320"/>
      <c r="I111" s="324" t="s">
        <v>3565</v>
      </c>
      <c r="J111" s="316"/>
      <c r="K111" s="317"/>
      <c r="L111" s="318"/>
      <c r="M111" s="468"/>
      <c r="N111" s="468"/>
      <c r="O111" s="314"/>
      <c r="P111" s="320"/>
      <c r="Q111" s="324" t="s">
        <v>3570</v>
      </c>
      <c r="R111" s="317"/>
      <c r="S111" s="317"/>
      <c r="T111" s="317"/>
      <c r="U111" s="468"/>
      <c r="V111" s="468"/>
      <c r="W111" s="313"/>
      <c r="X111" s="28"/>
    </row>
    <row r="112" spans="1:24" ht="15.75">
      <c r="A112" s="324" t="s">
        <v>3561</v>
      </c>
      <c r="B112" s="320"/>
      <c r="C112" s="320"/>
      <c r="D112" s="316"/>
      <c r="E112" s="311"/>
      <c r="F112" s="311"/>
      <c r="G112" s="314"/>
      <c r="H112" s="320"/>
      <c r="I112" s="324" t="s">
        <v>3566</v>
      </c>
      <c r="J112" s="316"/>
      <c r="K112" s="317"/>
      <c r="L112" s="318"/>
      <c r="M112" s="468"/>
      <c r="N112" s="468"/>
      <c r="O112" s="314"/>
      <c r="P112" s="320"/>
      <c r="Q112" s="324" t="s">
        <v>3571</v>
      </c>
      <c r="R112" s="317"/>
      <c r="S112" s="317"/>
      <c r="T112" s="317"/>
      <c r="U112" s="468"/>
      <c r="V112" s="468"/>
      <c r="W112" s="314"/>
      <c r="X112" s="28"/>
    </row>
    <row r="113" spans="1:26" ht="15.75">
      <c r="A113" s="324" t="s">
        <v>3562</v>
      </c>
      <c r="B113" s="320"/>
      <c r="C113" s="320"/>
      <c r="D113" s="316"/>
      <c r="E113" s="311"/>
      <c r="F113" s="311"/>
      <c r="G113" s="314"/>
      <c r="H113" s="320"/>
      <c r="I113" s="324" t="s">
        <v>3567</v>
      </c>
      <c r="J113" s="316"/>
      <c r="K113" s="317"/>
      <c r="L113" s="318"/>
      <c r="M113" s="468"/>
      <c r="N113" s="468"/>
      <c r="O113" s="314"/>
      <c r="P113" s="320"/>
      <c r="Q113" s="324" t="s">
        <v>4829</v>
      </c>
      <c r="R113" s="317"/>
      <c r="S113" s="317"/>
      <c r="T113" s="317"/>
      <c r="U113" s="468"/>
      <c r="V113" s="468"/>
      <c r="W113" s="314"/>
      <c r="X113" s="28"/>
    </row>
    <row r="114" spans="1:26" ht="15.75">
      <c r="A114" s="324" t="s">
        <v>3563</v>
      </c>
      <c r="B114" s="320"/>
      <c r="C114" s="320"/>
      <c r="D114" s="316"/>
      <c r="E114" s="311"/>
      <c r="F114" s="311"/>
      <c r="G114" s="314"/>
      <c r="H114" s="320"/>
      <c r="I114" s="324" t="s">
        <v>3568</v>
      </c>
      <c r="J114" s="316"/>
      <c r="K114" s="317"/>
      <c r="L114" s="318"/>
      <c r="M114" s="468"/>
      <c r="N114" s="468"/>
      <c r="O114" s="314"/>
      <c r="P114" s="320"/>
      <c r="Q114" s="324" t="s">
        <v>3572</v>
      </c>
      <c r="R114" s="317"/>
      <c r="S114" s="317"/>
      <c r="T114" s="317"/>
      <c r="U114" s="468"/>
      <c r="V114" s="468"/>
      <c r="W114" s="314"/>
      <c r="X114" s="28"/>
    </row>
    <row r="115" spans="1:26" ht="15.75">
      <c r="A115" s="324" t="s">
        <v>3564</v>
      </c>
      <c r="D115" s="296"/>
      <c r="E115" s="311"/>
      <c r="F115" s="468"/>
      <c r="G115" s="313"/>
      <c r="H115" s="296"/>
      <c r="I115" s="324" t="s">
        <v>3569</v>
      </c>
      <c r="J115" s="296"/>
      <c r="K115" s="28"/>
      <c r="L115" s="297"/>
      <c r="M115" s="468"/>
      <c r="N115" s="468"/>
      <c r="O115" s="313"/>
      <c r="P115" s="28"/>
      <c r="Q115" s="324" t="s">
        <v>3573</v>
      </c>
      <c r="R115" s="28"/>
      <c r="S115" s="28"/>
      <c r="T115" s="28"/>
      <c r="U115" s="468"/>
      <c r="V115" s="468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3463</v>
      </c>
      <c r="E118" s="435" t="s">
        <v>3464</v>
      </c>
      <c r="F118" s="435" t="s">
        <v>843</v>
      </c>
      <c r="G118" s="435" t="s">
        <v>2528</v>
      </c>
      <c r="H118" s="435" t="s">
        <v>2197</v>
      </c>
      <c r="I118" s="435" t="s">
        <v>2199</v>
      </c>
      <c r="J118" s="435" t="s">
        <v>2198</v>
      </c>
      <c r="K118" s="435" t="s">
        <v>2200</v>
      </c>
      <c r="L118" s="435" t="s">
        <v>2201</v>
      </c>
      <c r="M118" s="435" t="s">
        <v>2202</v>
      </c>
      <c r="N118" s="435" t="s">
        <v>2203</v>
      </c>
      <c r="O118" s="435" t="s">
        <v>2204</v>
      </c>
      <c r="P118" s="435" t="s">
        <v>2205</v>
      </c>
      <c r="Q118" s="435" t="s">
        <v>2206</v>
      </c>
      <c r="R118" s="435" t="s">
        <v>2207</v>
      </c>
      <c r="S118" s="435" t="s">
        <v>2184</v>
      </c>
      <c r="T118" s="435" t="s">
        <v>2208</v>
      </c>
      <c r="U118" s="435" t="s">
        <v>2209</v>
      </c>
      <c r="V118" s="202" t="s">
        <v>40</v>
      </c>
      <c r="W118" s="28"/>
      <c r="X118" s="28"/>
      <c r="Y118" s="28"/>
      <c r="Z118" s="28"/>
    </row>
    <row r="119" spans="1:26" ht="15.75">
      <c r="A119" s="28" t="s">
        <v>3502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/>
      <c r="S119" s="50"/>
      <c r="T119" s="50"/>
      <c r="U119" s="50"/>
      <c r="V119" s="303">
        <f>SUM(D119:U119)</f>
        <v>32</v>
      </c>
      <c r="W119" s="301">
        <f>SUM($F$80,$M$80,$V$76,$E$87,$N$87,$U$86,$E$94,$N$93,$U$94,$E$101,$N$101,$U$97,$F$108,$M$108,$V$107,$F$115,$M$114,$V$115)</f>
        <v>7631.320000000007</v>
      </c>
      <c r="X119" s="50" t="s">
        <v>60</v>
      </c>
      <c r="Z119" s="28"/>
    </row>
    <row r="120" spans="1:26" ht="15.75">
      <c r="A120" s="281" t="s">
        <v>2262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/>
      <c r="S120" s="50"/>
      <c r="T120" s="50"/>
      <c r="U120" s="50"/>
      <c r="V120" s="303">
        <f>SUM(D120:U120)</f>
        <v>28</v>
      </c>
      <c r="W120" s="503">
        <f>SUM($F$78,$M$78,$V$79,$E$86,$N$85,$U$85,$F$94,$N$90,$U$92,$E$99,$N$99,$U$100,$F$107,$M$106,$V$106,$E$115,$M$111,$V$113)</f>
        <v>7258.4499999999971</v>
      </c>
      <c r="X120" s="50" t="s">
        <v>62</v>
      </c>
      <c r="Y120" s="28"/>
      <c r="Z120" s="28"/>
    </row>
    <row r="121" spans="1:26" ht="15.75">
      <c r="A121" s="28" t="s">
        <v>3576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/>
      <c r="S121" s="50"/>
      <c r="T121" s="50"/>
      <c r="U121" s="50"/>
      <c r="V121" s="303">
        <f>SUM(D121:U121)</f>
        <v>24</v>
      </c>
      <c r="W121" s="503">
        <f>SUM($E$77,$N$80,$U$77,$F$84,$M$84,$V$85,$F$90,$M$91,$V$93,$F$98,$M$101,$V$98,$E$105,$N$105,$U$106,$E$111,$N$112,$U$114)</f>
        <v>7670.3200000000043</v>
      </c>
      <c r="X121" s="50" t="s">
        <v>64</v>
      </c>
      <c r="Y121" s="28"/>
      <c r="Z121" s="28"/>
    </row>
    <row r="122" spans="1:26" ht="15.75">
      <c r="A122" s="411" t="s">
        <v>3574</v>
      </c>
      <c r="B122" s="327"/>
      <c r="C122" s="327"/>
      <c r="D122" s="330">
        <v>1</v>
      </c>
      <c r="E122" s="330">
        <v>1</v>
      </c>
      <c r="F122" s="330">
        <v>3</v>
      </c>
      <c r="G122" s="330">
        <v>0</v>
      </c>
      <c r="H122" s="330">
        <v>0</v>
      </c>
      <c r="I122" s="330">
        <v>1</v>
      </c>
      <c r="J122" s="330">
        <v>3</v>
      </c>
      <c r="K122" s="330">
        <v>1</v>
      </c>
      <c r="L122" s="330">
        <v>1</v>
      </c>
      <c r="M122" s="330">
        <v>3</v>
      </c>
      <c r="N122" s="330">
        <v>3</v>
      </c>
      <c r="O122" s="330">
        <v>0</v>
      </c>
      <c r="P122" s="330">
        <v>2</v>
      </c>
      <c r="Q122" s="330">
        <v>2</v>
      </c>
      <c r="R122" s="330"/>
      <c r="S122" s="330"/>
      <c r="T122" s="330"/>
      <c r="U122" s="330"/>
      <c r="V122" s="329">
        <f>SUM(D122:U122)</f>
        <v>21</v>
      </c>
      <c r="W122" s="504">
        <f>SUM($E$76,$N$76,$U$76,$F$85,$M$83,$V$87,$E$90,$M$90,$V$91,$F$97,$M$97,$V$97,$E$106,$N$104,$U$108,$F$111,$N$111,$U$112)</f>
        <v>7191.1999999999935</v>
      </c>
      <c r="X122" s="330" t="s">
        <v>66</v>
      </c>
      <c r="Y122" s="28"/>
      <c r="Z122" s="28"/>
    </row>
    <row r="123" spans="1:26" ht="15.75">
      <c r="A123" s="524" t="s">
        <v>2297</v>
      </c>
      <c r="B123" s="531"/>
      <c r="C123" s="531"/>
      <c r="D123" s="532">
        <v>3</v>
      </c>
      <c r="E123" s="532">
        <v>1</v>
      </c>
      <c r="F123" s="532">
        <v>0</v>
      </c>
      <c r="G123" s="532">
        <v>2</v>
      </c>
      <c r="H123" s="532">
        <v>3</v>
      </c>
      <c r="I123" s="532">
        <v>3</v>
      </c>
      <c r="J123" s="532">
        <v>1</v>
      </c>
      <c r="K123" s="532">
        <v>2</v>
      </c>
      <c r="L123" s="532">
        <v>0</v>
      </c>
      <c r="M123" s="532">
        <v>1</v>
      </c>
      <c r="N123" s="532">
        <v>0</v>
      </c>
      <c r="O123" s="532">
        <v>3</v>
      </c>
      <c r="P123" s="532">
        <v>1</v>
      </c>
      <c r="Q123" s="532">
        <v>1</v>
      </c>
      <c r="R123" s="532"/>
      <c r="S123" s="532"/>
      <c r="T123" s="532"/>
      <c r="U123" s="532"/>
      <c r="V123" s="533">
        <f>SUM(D123:U123)</f>
        <v>21</v>
      </c>
      <c r="W123" s="534">
        <f>SUM($E$79,$N$78,$V$80,$E$84,$N$83,$U$83,$F$93,$M$92,$V$94,$F$100,$M$99,$U$101,$F$105,$M$104,$V$104,$E$114,$N$113,$U$115)</f>
        <v>7088.6399999999976</v>
      </c>
      <c r="X123" s="28"/>
      <c r="Y123" s="28"/>
      <c r="Z123" s="28"/>
    </row>
    <row r="124" spans="1:26" ht="15.75">
      <c r="A124" s="28" t="s">
        <v>3577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/>
      <c r="S124" s="50"/>
      <c r="T124" s="50"/>
      <c r="U124" s="50"/>
      <c r="V124" s="303">
        <f>SUM(D124:U124)</f>
        <v>20</v>
      </c>
      <c r="W124" s="503">
        <f>SUM($F$77,$M$76,$V$78,$E$83,$M$85,$V$86,$E$91,$N$92,$U$90,$E$98,$N$97,$U$99,$F$104,$N$106,$U$107,$F$112,$M$113,$V$111)</f>
        <v>6197.4400000000023</v>
      </c>
      <c r="X124" s="28"/>
      <c r="Y124" s="28"/>
      <c r="Z124" s="28"/>
    </row>
    <row r="125" spans="1:26" ht="15.75">
      <c r="A125" s="28" t="s">
        <v>3578</v>
      </c>
      <c r="D125" s="50">
        <v>0</v>
      </c>
      <c r="E125" s="50">
        <v>2</v>
      </c>
      <c r="F125" s="50">
        <v>3</v>
      </c>
      <c r="G125" s="50">
        <v>1</v>
      </c>
      <c r="H125" s="50">
        <v>3</v>
      </c>
      <c r="I125" s="50">
        <v>0</v>
      </c>
      <c r="J125" s="50">
        <v>3</v>
      </c>
      <c r="K125" s="50">
        <v>0</v>
      </c>
      <c r="L125" s="50">
        <v>2</v>
      </c>
      <c r="M125" s="50">
        <v>0</v>
      </c>
      <c r="N125" s="50">
        <v>3</v>
      </c>
      <c r="O125" s="50">
        <v>0</v>
      </c>
      <c r="P125" s="50">
        <v>0</v>
      </c>
      <c r="Q125" s="50">
        <v>1</v>
      </c>
      <c r="R125" s="50"/>
      <c r="S125" s="50"/>
      <c r="T125" s="50"/>
      <c r="U125" s="50"/>
      <c r="V125" s="303">
        <f>SUM(D125:U125)</f>
        <v>18</v>
      </c>
      <c r="W125" s="503">
        <f>SUM($E$78,$N$79,$U$78,$F$87,$M$86,$V$83,$E$92,$N$91,$U$91,$F$99,$M$100,$V$99,$E$108,$N$107,$U$104,$F$113,$M$112,$V$112)</f>
        <v>6423.8199999999988</v>
      </c>
      <c r="X125" s="28"/>
      <c r="Y125" s="28"/>
      <c r="Z125" s="28"/>
    </row>
    <row r="126" spans="1:26" ht="15.75">
      <c r="A126" s="28" t="s">
        <v>3579</v>
      </c>
      <c r="D126" s="50">
        <v>0</v>
      </c>
      <c r="E126" s="50">
        <v>3</v>
      </c>
      <c r="F126" s="50">
        <v>0</v>
      </c>
      <c r="G126" s="50">
        <v>3</v>
      </c>
      <c r="H126" s="50">
        <v>0</v>
      </c>
      <c r="I126" s="50">
        <v>1</v>
      </c>
      <c r="J126" s="50">
        <v>0</v>
      </c>
      <c r="K126" s="50">
        <v>2</v>
      </c>
      <c r="L126" s="50">
        <v>0</v>
      </c>
      <c r="M126" s="50">
        <v>2</v>
      </c>
      <c r="N126" s="50">
        <v>2</v>
      </c>
      <c r="O126" s="50">
        <v>2</v>
      </c>
      <c r="P126" s="50">
        <v>1</v>
      </c>
      <c r="Q126" s="50">
        <v>2</v>
      </c>
      <c r="R126" s="50"/>
      <c r="S126" s="50"/>
      <c r="T126" s="50"/>
      <c r="U126" s="50"/>
      <c r="V126" s="303">
        <f>SUM(D126:U126)</f>
        <v>18</v>
      </c>
      <c r="W126" s="503">
        <f>SUM($F$79,$M$77,$V$77,$E$85,$N$86,$U$84,$F$91,$M$93,$V$92,$E$100,$N$98,$U$98,$F$106,$M$107,$V$105,$E$112,$N$114,$U$113)</f>
        <v>5214.0000000000055</v>
      </c>
      <c r="X126" s="28"/>
      <c r="Y126" s="28"/>
      <c r="Z126" s="28"/>
    </row>
    <row r="127" spans="1:26" ht="15.75">
      <c r="A127" s="28" t="s">
        <v>2247</v>
      </c>
      <c r="D127" s="50">
        <v>2</v>
      </c>
      <c r="E127" s="50">
        <v>1</v>
      </c>
      <c r="F127" s="50">
        <v>3</v>
      </c>
      <c r="G127" s="50">
        <v>0</v>
      </c>
      <c r="H127" s="50">
        <v>1</v>
      </c>
      <c r="I127" s="50">
        <v>2</v>
      </c>
      <c r="J127" s="50">
        <v>2</v>
      </c>
      <c r="K127" s="50">
        <v>0</v>
      </c>
      <c r="L127" s="50">
        <v>3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/>
      <c r="S127" s="50"/>
      <c r="T127" s="50"/>
      <c r="U127" s="50"/>
      <c r="V127" s="303">
        <f>SUM(D127:U127)</f>
        <v>14</v>
      </c>
      <c r="W127" s="503">
        <f>SUM($F$76,$M$79,$U$79,$F$83,$M$87,$V$84,$E$93,$N$94,$U$93,$E$97,$N$100,$V$100,$E$104,$N$108,$U$105,$F$114,$M$115,$V$114)</f>
        <v>6950.02</v>
      </c>
      <c r="X127" s="28"/>
      <c r="Y127" s="28"/>
      <c r="Z127" s="28"/>
    </row>
    <row r="128" spans="1:26" ht="15.75">
      <c r="A128" s="28" t="s">
        <v>3575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/>
      <c r="S128" s="50"/>
      <c r="T128" s="50"/>
      <c r="U128" s="50"/>
      <c r="V128" s="303">
        <f>SUM(D128:U128)</f>
        <v>14</v>
      </c>
      <c r="W128" s="503">
        <f>SUM($E$80,$N$77,$U$80,$F$86,$N$84,$U$87,$F$92,$M$94,$V$90,$F$101,$M$98,$V$101,$E$107,$M$105,$V$108,$E$113,$N$115,$U$111)</f>
        <v>6097.1799999999976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9">
        <f>SUM(W119:W128)</f>
        <v>67722.39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9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2163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4"/>
      <c r="C135" s="444"/>
      <c r="D135" s="445"/>
      <c r="E135" s="445"/>
      <c r="F135" s="445"/>
      <c r="G135" s="318" t="s">
        <v>150</v>
      </c>
      <c r="H135" s="444"/>
      <c r="I135" s="319" t="s">
        <v>184</v>
      </c>
      <c r="J135" s="445"/>
      <c r="K135" s="444"/>
      <c r="L135" s="318"/>
      <c r="M135" s="444"/>
      <c r="N135" s="444"/>
      <c r="O135" s="318" t="s">
        <v>150</v>
      </c>
      <c r="P135" s="444"/>
      <c r="Q135" s="319" t="s">
        <v>843</v>
      </c>
      <c r="R135" s="444"/>
      <c r="S135" s="444"/>
      <c r="T135" s="444"/>
      <c r="U135" s="444"/>
      <c r="V135" s="444"/>
      <c r="W135" s="318" t="s">
        <v>150</v>
      </c>
    </row>
    <row r="136" spans="1:26" ht="15.75">
      <c r="A136" s="324" t="s">
        <v>3601</v>
      </c>
      <c r="B136" s="320"/>
      <c r="C136" s="320"/>
      <c r="D136" s="316"/>
      <c r="E136" s="468">
        <f>'Punten per wedstrijd'!E142*1.2</f>
        <v>392.51999999999992</v>
      </c>
      <c r="F136" s="468">
        <f>'Punten per wedstrijd'!E191</f>
        <v>256.89999999999998</v>
      </c>
      <c r="G136" s="313" t="s">
        <v>4555</v>
      </c>
      <c r="H136" s="320"/>
      <c r="I136" s="324" t="s">
        <v>3659</v>
      </c>
      <c r="J136" s="316"/>
      <c r="K136" s="317"/>
      <c r="L136" s="318"/>
      <c r="M136" s="468">
        <f>'Punten per wedstrijd'!E66*1.2</f>
        <v>309</v>
      </c>
      <c r="N136" s="468">
        <f>'Punten per wedstrijd'!E38</f>
        <v>211.69999999999982</v>
      </c>
      <c r="O136" s="313" t="s">
        <v>4555</v>
      </c>
      <c r="P136" s="320"/>
      <c r="Q136" s="324" t="s">
        <v>3664</v>
      </c>
      <c r="R136" s="317"/>
      <c r="S136" s="317"/>
      <c r="T136" s="317"/>
      <c r="U136" s="468">
        <f>'Punten per wedstrijd'!F142*1.2</f>
        <v>537.12000000000069</v>
      </c>
      <c r="V136" s="468">
        <f>'Punten per wedstrijd'!F194</f>
        <v>288.40000000000055</v>
      </c>
      <c r="W136" s="313" t="s">
        <v>4555</v>
      </c>
      <c r="Y136" s="301"/>
      <c r="Z136" s="300"/>
    </row>
    <row r="137" spans="1:26" ht="15.75">
      <c r="A137" s="324" t="s">
        <v>3602</v>
      </c>
      <c r="B137" s="320"/>
      <c r="C137" s="320"/>
      <c r="D137" s="316"/>
      <c r="E137" s="468">
        <f>'Punten per wedstrijd'!E154*1.2</f>
        <v>660.24</v>
      </c>
      <c r="F137" s="468">
        <f>'Punten per wedstrijd'!E170</f>
        <v>584.70000000000005</v>
      </c>
      <c r="G137" s="313" t="s">
        <v>4557</v>
      </c>
      <c r="H137" s="320"/>
      <c r="I137" s="324" t="s">
        <v>3660</v>
      </c>
      <c r="J137" s="316"/>
      <c r="K137" s="317"/>
      <c r="L137" s="318"/>
      <c r="M137" s="468">
        <f>'Punten per wedstrijd'!E81*1.2</f>
        <v>72.599999999999994</v>
      </c>
      <c r="N137" s="468">
        <f>'Punten per wedstrijd'!E103</f>
        <v>191.5</v>
      </c>
      <c r="O137" s="313" t="s">
        <v>4556</v>
      </c>
      <c r="P137" s="320"/>
      <c r="Q137" s="324" t="s">
        <v>3665</v>
      </c>
      <c r="R137" s="317"/>
      <c r="S137" s="317"/>
      <c r="T137" s="317"/>
      <c r="U137" s="468">
        <f>'Punten per wedstrijd'!F154*1.2</f>
        <v>593.99999999999943</v>
      </c>
      <c r="V137" s="468">
        <f>'Punten per wedstrijd'!F185</f>
        <v>196.39999999999964</v>
      </c>
      <c r="W137" s="313" t="s">
        <v>4555</v>
      </c>
      <c r="Y137" s="301"/>
      <c r="Z137" s="300"/>
    </row>
    <row r="138" spans="1:26" ht="15.75">
      <c r="A138" s="324" t="s">
        <v>3603</v>
      </c>
      <c r="B138" s="320"/>
      <c r="C138" s="320"/>
      <c r="D138" s="316"/>
      <c r="E138" s="468">
        <f>'Punten per wedstrijd'!E177*1.2</f>
        <v>402.84</v>
      </c>
      <c r="F138" s="468">
        <f>'Punten per wedstrijd'!E189</f>
        <v>280.89999999999998</v>
      </c>
      <c r="G138" s="313" t="s">
        <v>4555</v>
      </c>
      <c r="H138" s="320"/>
      <c r="I138" s="324" t="s">
        <v>3661</v>
      </c>
      <c r="J138" s="316"/>
      <c r="K138" s="317"/>
      <c r="L138" s="318"/>
      <c r="M138" s="468">
        <f>'Punten per wedstrijd'!E85*1.2</f>
        <v>86.999999999999929</v>
      </c>
      <c r="N138" s="468">
        <f>'Punten per wedstrijd'!E80</f>
        <v>240.90000000000009</v>
      </c>
      <c r="O138" s="314" t="s">
        <v>4556</v>
      </c>
      <c r="P138" s="320"/>
      <c r="Q138" s="324" t="s">
        <v>3666</v>
      </c>
      <c r="R138" s="317"/>
      <c r="S138" s="317"/>
      <c r="T138" s="317"/>
      <c r="U138" s="468">
        <f>'Punten per wedstrijd'!F177*1.2</f>
        <v>407.51999999999936</v>
      </c>
      <c r="V138" s="468">
        <f>'Punten per wedstrijd'!F170</f>
        <v>664.69999999999959</v>
      </c>
      <c r="W138" s="314" t="s">
        <v>4556</v>
      </c>
      <c r="Y138" s="301"/>
      <c r="Z138" s="300"/>
    </row>
    <row r="139" spans="1:26" ht="15.75">
      <c r="A139" s="324" t="s">
        <v>2279</v>
      </c>
      <c r="B139" s="320"/>
      <c r="C139" s="320"/>
      <c r="D139" s="316"/>
      <c r="E139" s="468">
        <f>'Punten per wedstrijd'!E184*1.2</f>
        <v>251.63999999999993</v>
      </c>
      <c r="F139" s="468">
        <f>'Punten per wedstrijd'!E185</f>
        <v>73.900000000000006</v>
      </c>
      <c r="G139" s="313" t="s">
        <v>4555</v>
      </c>
      <c r="H139" s="320"/>
      <c r="I139" s="324" t="s">
        <v>3662</v>
      </c>
      <c r="J139" s="316"/>
      <c r="K139" s="317"/>
      <c r="L139" s="318"/>
      <c r="M139" s="468">
        <f>'Punten per wedstrijd'!E87*1.2</f>
        <v>140.4</v>
      </c>
      <c r="N139" s="468">
        <f>'Punten per wedstrijd'!E73</f>
        <v>251.70000000000016</v>
      </c>
      <c r="O139" s="314" t="s">
        <v>4556</v>
      </c>
      <c r="P139" s="320"/>
      <c r="Q139" s="324" t="s">
        <v>4199</v>
      </c>
      <c r="R139" s="317"/>
      <c r="S139" s="317"/>
      <c r="T139" s="317"/>
      <c r="U139" s="468">
        <f>'Punten per wedstrijd'!F191*1.2</f>
        <v>435.11999999999932</v>
      </c>
      <c r="V139" s="468">
        <f>'Punten per wedstrijd'!F189</f>
        <v>655.90000000000009</v>
      </c>
      <c r="W139" s="314" t="s">
        <v>4556</v>
      </c>
      <c r="Y139" s="28"/>
      <c r="Z139" s="28"/>
    </row>
    <row r="140" spans="1:26" ht="15.75">
      <c r="A140" s="324" t="s">
        <v>3604</v>
      </c>
      <c r="B140" s="320"/>
      <c r="C140" s="320"/>
      <c r="D140" s="316"/>
      <c r="E140" s="468">
        <f>'Punten per wedstrijd'!E207*1.2</f>
        <v>486.23999999999995</v>
      </c>
      <c r="F140" s="468">
        <f>'Punten per wedstrijd'!E194</f>
        <v>188.20000000000002</v>
      </c>
      <c r="G140" s="313" t="s">
        <v>4555</v>
      </c>
      <c r="H140" s="320"/>
      <c r="I140" s="324" t="s">
        <v>3663</v>
      </c>
      <c r="J140" s="316"/>
      <c r="K140" s="317"/>
      <c r="L140" s="318"/>
      <c r="M140" s="468">
        <f>'Punten per wedstrijd'!E90*1.2</f>
        <v>460.2</v>
      </c>
      <c r="N140" s="468">
        <f>'Punten per wedstrijd'!E50</f>
        <v>160.99999999999989</v>
      </c>
      <c r="O140" s="314" t="s">
        <v>4555</v>
      </c>
      <c r="P140" s="320"/>
      <c r="Q140" s="324" t="s">
        <v>3667</v>
      </c>
      <c r="R140" s="317"/>
      <c r="S140" s="317"/>
      <c r="T140" s="317"/>
      <c r="U140" s="468">
        <f>'Punten per wedstrijd'!F207*1.2</f>
        <v>144.95999999999967</v>
      </c>
      <c r="V140" s="468">
        <f>'Punten per wedstrijd'!F184</f>
        <v>582.80000000000041</v>
      </c>
      <c r="W140" s="314" t="s">
        <v>4556</v>
      </c>
      <c r="Y140" s="28"/>
      <c r="Z140" s="28"/>
    </row>
    <row r="141" spans="1:26" ht="15.75">
      <c r="A141" s="323"/>
      <c r="B141" s="320"/>
      <c r="C141" s="320"/>
      <c r="D141" s="316"/>
      <c r="E141" s="468"/>
      <c r="F141" s="468"/>
      <c r="G141" s="313"/>
      <c r="H141" s="320"/>
      <c r="I141" s="320"/>
      <c r="J141" s="316"/>
      <c r="K141" s="317"/>
      <c r="L141" s="318"/>
      <c r="M141" s="500"/>
      <c r="N141" s="500"/>
      <c r="O141" s="314"/>
      <c r="P141" s="320"/>
      <c r="Q141" s="316"/>
      <c r="R141" s="317"/>
      <c r="S141" s="317"/>
      <c r="T141" s="317"/>
      <c r="U141" s="500"/>
      <c r="V141" s="500"/>
      <c r="W141" s="314"/>
      <c r="Y141" s="28"/>
      <c r="Z141" s="299"/>
    </row>
    <row r="142" spans="1:26" s="39" customFormat="1" ht="15.75">
      <c r="A142" s="319" t="s">
        <v>2210</v>
      </c>
      <c r="B142" s="444"/>
      <c r="C142" s="444"/>
      <c r="D142" s="445"/>
      <c r="E142" s="468"/>
      <c r="F142" s="468"/>
      <c r="G142" s="447" t="s">
        <v>150</v>
      </c>
      <c r="H142" s="444"/>
      <c r="I142" s="319" t="s">
        <v>186</v>
      </c>
      <c r="J142" s="445"/>
      <c r="K142" s="444"/>
      <c r="L142" s="318"/>
      <c r="M142" s="500"/>
      <c r="N142" s="500"/>
      <c r="O142" s="447" t="s">
        <v>150</v>
      </c>
      <c r="P142" s="444"/>
      <c r="Q142" s="319" t="s">
        <v>175</v>
      </c>
      <c r="R142" s="444"/>
      <c r="S142" s="444"/>
      <c r="T142" s="444"/>
      <c r="U142" s="500"/>
      <c r="V142" s="500"/>
      <c r="W142" s="447" t="s">
        <v>150</v>
      </c>
    </row>
    <row r="143" spans="1:26" ht="15.75">
      <c r="A143" s="324" t="s">
        <v>3668</v>
      </c>
      <c r="B143" s="320"/>
      <c r="C143" s="320"/>
      <c r="D143" s="316"/>
      <c r="E143" s="468">
        <f>'Punten per wedstrijd'!F66*1.2</f>
        <v>292.8</v>
      </c>
      <c r="F143" s="468">
        <f>'Punten per wedstrijd'!F87</f>
        <v>430.69999999999982</v>
      </c>
      <c r="G143" s="313" t="s">
        <v>4556</v>
      </c>
      <c r="H143" s="320"/>
      <c r="I143" s="324" t="s">
        <v>3673</v>
      </c>
      <c r="J143" s="316"/>
      <c r="K143" s="317"/>
      <c r="L143" s="318"/>
      <c r="M143" s="468">
        <f>'Punten per wedstrijd'!G38*1.2</f>
        <v>246.24000000000032</v>
      </c>
      <c r="N143" s="468">
        <f>'Punten per wedstrijd'!G80</f>
        <v>25.200000000000273</v>
      </c>
      <c r="O143" s="314" t="s">
        <v>4555</v>
      </c>
      <c r="P143" s="320"/>
      <c r="Q143" s="324" t="s">
        <v>3678</v>
      </c>
      <c r="R143" s="317"/>
      <c r="S143" s="317"/>
      <c r="T143" s="317"/>
      <c r="U143" s="468">
        <f>'Punten per wedstrijd'!G184*1.2</f>
        <v>1240.68</v>
      </c>
      <c r="V143" s="468">
        <f>'Punten per wedstrijd'!G177</f>
        <v>1083.8000000000006</v>
      </c>
      <c r="W143" s="313" t="s">
        <v>4557</v>
      </c>
      <c r="Y143" s="301"/>
      <c r="Z143" s="300"/>
    </row>
    <row r="144" spans="1:26" ht="15.75">
      <c r="A144" s="324" t="s">
        <v>3669</v>
      </c>
      <c r="B144" s="320"/>
      <c r="C144" s="320"/>
      <c r="D144" s="316"/>
      <c r="E144" s="468">
        <f>'Punten per wedstrijd'!F80*1.2</f>
        <v>78</v>
      </c>
      <c r="F144" s="468">
        <f>'Punten per wedstrijd'!F50</f>
        <v>541.00000000000068</v>
      </c>
      <c r="G144" s="313" t="s">
        <v>4556</v>
      </c>
      <c r="H144" s="320"/>
      <c r="I144" s="324" t="s">
        <v>3674</v>
      </c>
      <c r="J144" s="316"/>
      <c r="K144" s="317"/>
      <c r="L144" s="318"/>
      <c r="M144" s="468">
        <f>'Punten per wedstrijd'!G50*1.2</f>
        <v>337.67999999999898</v>
      </c>
      <c r="N144" s="468">
        <f>'Punten per wedstrijd'!G103</f>
        <v>170</v>
      </c>
      <c r="O144" s="314" t="s">
        <v>4555</v>
      </c>
      <c r="P144" s="320"/>
      <c r="Q144" s="324" t="s">
        <v>3679</v>
      </c>
      <c r="R144" s="317"/>
      <c r="S144" s="317"/>
      <c r="T144" s="317"/>
      <c r="U144" s="468">
        <f>'Punten per wedstrijd'!G185*1.2</f>
        <v>514.6799999999995</v>
      </c>
      <c r="V144" s="468">
        <f>'Punten per wedstrijd'!G191</f>
        <v>756.20000000000073</v>
      </c>
      <c r="W144" s="314" t="s">
        <v>4556</v>
      </c>
      <c r="Y144" s="301"/>
      <c r="Z144" s="300"/>
    </row>
    <row r="145" spans="1:26" ht="15.75">
      <c r="A145" s="324" t="s">
        <v>3670</v>
      </c>
      <c r="B145" s="320"/>
      <c r="C145" s="320"/>
      <c r="D145" s="316"/>
      <c r="E145" s="468">
        <f>'Punten per wedstrijd'!F81*1.2</f>
        <v>176.15999999999966</v>
      </c>
      <c r="F145" s="468">
        <f>'Punten per wedstrijd'!F38</f>
        <v>286.70000000000073</v>
      </c>
      <c r="G145" s="313" t="s">
        <v>4556</v>
      </c>
      <c r="H145" s="320"/>
      <c r="I145" s="324" t="s">
        <v>3675</v>
      </c>
      <c r="J145" s="316"/>
      <c r="K145" s="317"/>
      <c r="L145" s="318"/>
      <c r="M145" s="468">
        <f>'Punten per wedstrijd'!G66*1.2</f>
        <v>59.279999999999561</v>
      </c>
      <c r="N145" s="468">
        <f>'Punten per wedstrijd'!G85</f>
        <v>21</v>
      </c>
      <c r="O145" s="314" t="s">
        <v>4555</v>
      </c>
      <c r="P145" s="320"/>
      <c r="Q145" s="324" t="s">
        <v>3680</v>
      </c>
      <c r="R145" s="317"/>
      <c r="S145" s="317"/>
      <c r="T145" s="317"/>
      <c r="U145" s="468">
        <f>'Punten per wedstrijd'!G189*1.2</f>
        <v>1071.9599999999984</v>
      </c>
      <c r="V145" s="468">
        <f>'Punten per wedstrijd'!G154</f>
        <v>812.49999999999909</v>
      </c>
      <c r="W145" s="313" t="s">
        <v>4555</v>
      </c>
      <c r="Y145" s="301"/>
      <c r="Z145" s="300"/>
    </row>
    <row r="146" spans="1:26" ht="15.75">
      <c r="A146" s="324" t="s">
        <v>3671</v>
      </c>
      <c r="B146" s="320"/>
      <c r="C146" s="320"/>
      <c r="D146" s="316"/>
      <c r="E146" s="468">
        <f>'Punten per wedstrijd'!F85*1.2</f>
        <v>239.39999999999998</v>
      </c>
      <c r="F146" s="468">
        <f>'Punten per wedstrijd'!F103</f>
        <v>502.7999999999995</v>
      </c>
      <c r="G146" s="313" t="s">
        <v>4556</v>
      </c>
      <c r="H146" s="320"/>
      <c r="I146" s="324" t="s">
        <v>3676</v>
      </c>
      <c r="J146" s="316"/>
      <c r="K146" s="317"/>
      <c r="L146" s="318"/>
      <c r="M146" s="468">
        <f>'Punten per wedstrijd'!G73*1.2</f>
        <v>343.07999999999953</v>
      </c>
      <c r="N146" s="468">
        <f>'Punten per wedstrijd'!G81</f>
        <v>98.399999999999864</v>
      </c>
      <c r="O146" s="314" t="s">
        <v>4555</v>
      </c>
      <c r="P146" s="320"/>
      <c r="Q146" s="324" t="s">
        <v>3681</v>
      </c>
      <c r="R146" s="317"/>
      <c r="S146" s="317"/>
      <c r="T146" s="317"/>
      <c r="U146" s="468">
        <f>'Punten per wedstrijd'!G194*1.2</f>
        <v>628.56000000000017</v>
      </c>
      <c r="V146" s="468">
        <f>'Punten per wedstrijd'!G170</f>
        <v>585.09999999999991</v>
      </c>
      <c r="W146" s="313" t="s">
        <v>4557</v>
      </c>
      <c r="Y146" s="28"/>
      <c r="Z146" s="28"/>
    </row>
    <row r="147" spans="1:26" ht="15.75">
      <c r="A147" s="324" t="s">
        <v>3672</v>
      </c>
      <c r="B147" s="320"/>
      <c r="C147" s="320"/>
      <c r="D147" s="316"/>
      <c r="E147" s="468">
        <f>'Punten per wedstrijd'!F90*1.2</f>
        <v>680.81999999999982</v>
      </c>
      <c r="F147" s="468">
        <f>'Punten per wedstrijd'!F73</f>
        <v>249.5</v>
      </c>
      <c r="G147" s="313" t="s">
        <v>4555</v>
      </c>
      <c r="H147" s="320"/>
      <c r="I147" s="324" t="s">
        <v>3677</v>
      </c>
      <c r="J147" s="316"/>
      <c r="K147" s="317"/>
      <c r="L147" s="318"/>
      <c r="M147" s="468">
        <f>'Punten per wedstrijd'!G87*1.2</f>
        <v>453.84000000000032</v>
      </c>
      <c r="N147" s="468">
        <f>'Punten per wedstrijd'!G90</f>
        <v>406.10000000000036</v>
      </c>
      <c r="O147" s="313" t="s">
        <v>4557</v>
      </c>
      <c r="P147" s="320"/>
      <c r="Q147" s="324" t="s">
        <v>3682</v>
      </c>
      <c r="R147" s="317"/>
      <c r="S147" s="317"/>
      <c r="T147" s="317"/>
      <c r="U147" s="468">
        <f>'Punten per wedstrijd'!G207*1.2</f>
        <v>797.15999999999906</v>
      </c>
      <c r="V147" s="468">
        <f>'Punten per wedstrijd'!G142</f>
        <v>941.70000000000027</v>
      </c>
      <c r="W147" s="313" t="s">
        <v>4554</v>
      </c>
      <c r="Y147" s="28"/>
      <c r="Z147" s="28"/>
    </row>
    <row r="148" spans="1:26" ht="15.75">
      <c r="A148" s="323"/>
      <c r="B148" s="320"/>
      <c r="C148" s="320"/>
      <c r="D148" s="316"/>
      <c r="E148" s="468"/>
      <c r="F148" s="468"/>
      <c r="G148" s="311"/>
      <c r="H148" s="320"/>
      <c r="I148" s="316"/>
      <c r="J148" s="316"/>
      <c r="K148" s="317"/>
      <c r="L148" s="318"/>
      <c r="M148" s="500"/>
      <c r="N148" s="500"/>
      <c r="O148" s="314"/>
      <c r="P148" s="320"/>
      <c r="Q148" s="317"/>
      <c r="R148" s="317"/>
      <c r="S148" s="317"/>
      <c r="T148" s="317"/>
      <c r="U148" s="500"/>
      <c r="V148" s="500"/>
      <c r="W148" s="314"/>
      <c r="Y148" s="28"/>
      <c r="Z148" s="299"/>
    </row>
    <row r="149" spans="1:26" s="39" customFormat="1" ht="15.75">
      <c r="A149" s="319" t="s">
        <v>187</v>
      </c>
      <c r="B149" s="444"/>
      <c r="C149" s="444"/>
      <c r="D149" s="445"/>
      <c r="E149" s="468"/>
      <c r="F149" s="468"/>
      <c r="G149" s="447" t="s">
        <v>150</v>
      </c>
      <c r="H149" s="444"/>
      <c r="I149" s="319" t="s">
        <v>188</v>
      </c>
      <c r="J149" s="445"/>
      <c r="K149" s="444"/>
      <c r="L149" s="318"/>
      <c r="M149" s="500"/>
      <c r="N149" s="500"/>
      <c r="O149" s="447" t="s">
        <v>150</v>
      </c>
      <c r="P149" s="444"/>
      <c r="Q149" s="319" t="s">
        <v>2211</v>
      </c>
      <c r="R149" s="444"/>
      <c r="S149" s="444"/>
      <c r="T149" s="444"/>
      <c r="U149" s="500"/>
      <c r="V149" s="500"/>
      <c r="W149" s="447" t="s">
        <v>150</v>
      </c>
    </row>
    <row r="150" spans="1:26" ht="15.75">
      <c r="A150" s="324" t="s">
        <v>3683</v>
      </c>
      <c r="B150" s="320"/>
      <c r="C150" s="320"/>
      <c r="D150" s="316"/>
      <c r="E150" s="468">
        <f>'Punten per wedstrijd'!H142*1.2</f>
        <v>872.03999999999917</v>
      </c>
      <c r="F150" s="468">
        <f>'Punten per wedstrijd'!H154</f>
        <v>218.69999999999891</v>
      </c>
      <c r="G150" s="313" t="s">
        <v>4555</v>
      </c>
      <c r="H150" s="320"/>
      <c r="I150" s="324" t="s">
        <v>3688</v>
      </c>
      <c r="J150" s="316"/>
      <c r="K150" s="317"/>
      <c r="L150" s="318"/>
      <c r="M150" s="468">
        <f>'Punten per wedstrijd'!H38*1.2</f>
        <v>797.03999999999974</v>
      </c>
      <c r="N150" s="468">
        <f>'Punten per wedstrijd'!H85</f>
        <v>557.99999999999864</v>
      </c>
      <c r="O150" s="314" t="s">
        <v>4555</v>
      </c>
      <c r="P150" s="320"/>
      <c r="Q150" s="324" t="s">
        <v>3693</v>
      </c>
      <c r="R150" s="317"/>
      <c r="S150" s="317"/>
      <c r="T150" s="317"/>
      <c r="U150" s="468">
        <f>'Punten per wedstrijd'!I170*1.2</f>
        <v>1091.5200000000025</v>
      </c>
      <c r="V150" s="468">
        <f>'Punten per wedstrijd'!I207</f>
        <v>15.199999999998909</v>
      </c>
      <c r="W150" s="313" t="s">
        <v>4555</v>
      </c>
      <c r="Y150" s="301"/>
      <c r="Z150" s="300"/>
    </row>
    <row r="151" spans="1:26" ht="15.75">
      <c r="A151" s="324" t="s">
        <v>3684</v>
      </c>
      <c r="B151" s="320"/>
      <c r="C151" s="320"/>
      <c r="D151" s="316"/>
      <c r="E151" s="468">
        <f>'Punten per wedstrijd'!H170*1.2</f>
        <v>725.21999999999991</v>
      </c>
      <c r="F151" s="468">
        <f>'Punten per wedstrijd'!H185</f>
        <v>523</v>
      </c>
      <c r="G151" s="313" t="s">
        <v>4555</v>
      </c>
      <c r="H151" s="320"/>
      <c r="I151" s="324" t="s">
        <v>3689</v>
      </c>
      <c r="J151" s="316"/>
      <c r="K151" s="317"/>
      <c r="L151" s="318"/>
      <c r="M151" s="468">
        <f>'Punten per wedstrijd'!H50*1.2</f>
        <v>852.96000000000015</v>
      </c>
      <c r="N151" s="468">
        <f>'Punten per wedstrijd'!H73</f>
        <v>652.50000000000091</v>
      </c>
      <c r="O151" s="314" t="s">
        <v>4555</v>
      </c>
      <c r="P151" s="320"/>
      <c r="Q151" s="324" t="s">
        <v>3694</v>
      </c>
      <c r="R151" s="317"/>
      <c r="S151" s="317"/>
      <c r="T151" s="317"/>
      <c r="U151" s="468">
        <f>'Punten per wedstrijd'!I177*1.2</f>
        <v>1194.359999999999</v>
      </c>
      <c r="V151" s="468">
        <f>'Punten per wedstrijd'!I142</f>
        <v>933.09999999999945</v>
      </c>
      <c r="W151" s="313" t="s">
        <v>4555</v>
      </c>
      <c r="Y151" s="301"/>
      <c r="Z151" s="300"/>
    </row>
    <row r="152" spans="1:26" ht="15.75">
      <c r="A152" s="324" t="s">
        <v>3685</v>
      </c>
      <c r="B152" s="320"/>
      <c r="C152" s="320"/>
      <c r="D152" s="316"/>
      <c r="E152" s="468">
        <f>'Punten per wedstrijd'!H177*1.2</f>
        <v>978.60000000000105</v>
      </c>
      <c r="F152" s="468">
        <f>'Punten per wedstrijd'!H207</f>
        <v>262.05000000000064</v>
      </c>
      <c r="G152" s="313" t="s">
        <v>4555</v>
      </c>
      <c r="H152" s="320"/>
      <c r="I152" s="324" t="s">
        <v>3690</v>
      </c>
      <c r="J152" s="316"/>
      <c r="K152" s="317"/>
      <c r="L152" s="318"/>
      <c r="M152" s="468">
        <f>'Punten per wedstrijd'!H80*1.2</f>
        <v>950.04000000000087</v>
      </c>
      <c r="N152" s="468">
        <f>'Punten per wedstrijd'!H66</f>
        <v>710.05000000000109</v>
      </c>
      <c r="O152" s="314" t="s">
        <v>4555</v>
      </c>
      <c r="P152" s="320"/>
      <c r="Q152" s="324" t="s">
        <v>3695</v>
      </c>
      <c r="R152" s="317"/>
      <c r="S152" s="317"/>
      <c r="T152" s="317"/>
      <c r="U152" s="468">
        <f>'Punten per wedstrijd'!I189*1.2</f>
        <v>861</v>
      </c>
      <c r="V152" s="468">
        <f>'Punten per wedstrijd'!I185</f>
        <v>542.80000000000155</v>
      </c>
      <c r="W152" s="313" t="s">
        <v>4555</v>
      </c>
      <c r="Y152" s="301"/>
      <c r="Z152" s="300"/>
    </row>
    <row r="153" spans="1:26" ht="15.75">
      <c r="A153" s="324" t="s">
        <v>3686</v>
      </c>
      <c r="B153" s="320"/>
      <c r="C153" s="320"/>
      <c r="D153" s="316"/>
      <c r="E153" s="468">
        <f>'Punten per wedstrijd'!H191*1.2</f>
        <v>620.46000000000015</v>
      </c>
      <c r="F153" s="468">
        <f>'Punten per wedstrijd'!H184</f>
        <v>716.70000000000073</v>
      </c>
      <c r="G153" s="313" t="s">
        <v>4554</v>
      </c>
      <c r="H153" s="320"/>
      <c r="I153" s="324" t="s">
        <v>3691</v>
      </c>
      <c r="J153" s="316"/>
      <c r="K153" s="317"/>
      <c r="L153" s="318"/>
      <c r="M153" s="468">
        <f>'Punten per wedstrijd'!H81*1.2</f>
        <v>416.04000000000087</v>
      </c>
      <c r="N153" s="468">
        <f>'Punten per wedstrijd'!H90</f>
        <v>831.34999999999945</v>
      </c>
      <c r="O153" s="314" t="s">
        <v>4556</v>
      </c>
      <c r="P153" s="320"/>
      <c r="Q153" s="324" t="s">
        <v>3696</v>
      </c>
      <c r="R153" s="317"/>
      <c r="S153" s="317"/>
      <c r="T153" s="317"/>
      <c r="U153" s="468">
        <f>'Punten per wedstrijd'!I191*1.2</f>
        <v>423.71999999999935</v>
      </c>
      <c r="V153" s="468">
        <f>'Punten per wedstrijd'!I154</f>
        <v>479.79999999999927</v>
      </c>
      <c r="W153" s="313" t="s">
        <v>4554</v>
      </c>
      <c r="Y153" s="28"/>
      <c r="Z153" s="28"/>
    </row>
    <row r="154" spans="1:26" ht="15.75">
      <c r="A154" s="324" t="s">
        <v>3687</v>
      </c>
      <c r="B154" s="320"/>
      <c r="C154" s="320"/>
      <c r="D154" s="316"/>
      <c r="E154" s="468">
        <f>'Punten per wedstrijd'!H194*1.2</f>
        <v>417</v>
      </c>
      <c r="F154" s="468">
        <f>'Punten per wedstrijd'!H189</f>
        <v>759.29999999999973</v>
      </c>
      <c r="G154" s="313" t="s">
        <v>4556</v>
      </c>
      <c r="H154" s="316"/>
      <c r="I154" s="324" t="s">
        <v>3692</v>
      </c>
      <c r="J154" s="316"/>
      <c r="K154" s="317"/>
      <c r="L154" s="318"/>
      <c r="M154" s="468">
        <f>'Punten per wedstrijd'!H103*1.2</f>
        <v>729.42000000000098</v>
      </c>
      <c r="N154" s="468">
        <f>'Punten per wedstrijd'!H87</f>
        <v>690.55000000000018</v>
      </c>
      <c r="O154" s="313" t="s">
        <v>4557</v>
      </c>
      <c r="P154" s="317"/>
      <c r="Q154" s="324" t="s">
        <v>3697</v>
      </c>
      <c r="R154" s="317"/>
      <c r="S154" s="317"/>
      <c r="T154" s="317"/>
      <c r="U154" s="468">
        <f>'Punten per wedstrijd'!I194*1.2</f>
        <v>733.55999999999915</v>
      </c>
      <c r="V154" s="468">
        <f>'Punten per wedstrijd'!I184</f>
        <v>678.69999999999891</v>
      </c>
      <c r="W154" s="313" t="s">
        <v>4557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8"/>
      <c r="F155" s="468"/>
      <c r="G155" s="311"/>
      <c r="H155" s="316"/>
      <c r="I155" s="315"/>
      <c r="J155" s="316"/>
      <c r="K155" s="317"/>
      <c r="L155" s="318"/>
      <c r="M155" s="500"/>
      <c r="N155" s="500"/>
      <c r="O155" s="314"/>
      <c r="P155" s="317"/>
      <c r="Q155" s="315"/>
      <c r="R155" s="317"/>
      <c r="S155" s="317"/>
      <c r="T155" s="317"/>
      <c r="U155" s="500"/>
      <c r="V155" s="500"/>
      <c r="W155" s="314"/>
      <c r="X155" s="28"/>
      <c r="Y155" s="28"/>
      <c r="Z155" s="28"/>
    </row>
    <row r="156" spans="1:26" s="39" customFormat="1" ht="15.75">
      <c r="A156" s="319" t="s">
        <v>2212</v>
      </c>
      <c r="B156" s="444"/>
      <c r="C156" s="444"/>
      <c r="D156" s="445"/>
      <c r="E156" s="468"/>
      <c r="F156" s="468"/>
      <c r="G156" s="447" t="s">
        <v>150</v>
      </c>
      <c r="H156" s="444"/>
      <c r="I156" s="319" t="s">
        <v>3536</v>
      </c>
      <c r="J156" s="445"/>
      <c r="K156" s="444"/>
      <c r="L156" s="318"/>
      <c r="M156" s="500"/>
      <c r="N156" s="500"/>
      <c r="O156" s="447" t="s">
        <v>150</v>
      </c>
      <c r="P156" s="444"/>
      <c r="Q156" s="319" t="s">
        <v>3537</v>
      </c>
      <c r="R156" s="444"/>
      <c r="S156" s="444"/>
      <c r="T156" s="444"/>
      <c r="U156" s="500"/>
      <c r="V156" s="500"/>
      <c r="W156" s="447" t="s">
        <v>150</v>
      </c>
    </row>
    <row r="157" spans="1:26" ht="15.75">
      <c r="A157" s="324" t="s">
        <v>4158</v>
      </c>
      <c r="B157" s="320"/>
      <c r="C157" s="320"/>
      <c r="D157" s="316"/>
      <c r="E157" s="468">
        <f>'Punten per wedstrijd'!I87*1.2</f>
        <v>477.96</v>
      </c>
      <c r="F157" s="468">
        <f>'Punten per wedstrijd'!I38</f>
        <v>236</v>
      </c>
      <c r="G157" s="313" t="s">
        <v>4555</v>
      </c>
      <c r="H157" s="320"/>
      <c r="I157" s="324" t="s">
        <v>4159</v>
      </c>
      <c r="J157" s="316"/>
      <c r="K157" s="317"/>
      <c r="L157" s="318"/>
      <c r="M157" s="468">
        <f>'Punten per wedstrijd'!J38*1.2</f>
        <v>594.4799999999999</v>
      </c>
      <c r="N157" s="468">
        <f>'Punten per wedstrijd'!J66</f>
        <v>707.8</v>
      </c>
      <c r="O157" s="313" t="s">
        <v>4554</v>
      </c>
      <c r="P157" s="320"/>
      <c r="Q157" s="324" t="s">
        <v>4936</v>
      </c>
      <c r="R157" s="317"/>
      <c r="S157" s="317"/>
      <c r="T157" s="317"/>
      <c r="U157" s="468">
        <f>'Punten per wedstrijd'!K90*1.2</f>
        <v>509.88</v>
      </c>
      <c r="V157" s="468">
        <f>'Punten per wedstrijd'!K38</f>
        <v>259.7</v>
      </c>
      <c r="W157" s="313" t="s">
        <v>4555</v>
      </c>
      <c r="X157" s="28"/>
      <c r="Y157" s="28"/>
      <c r="Z157" s="28"/>
    </row>
    <row r="158" spans="1:26" ht="15.75">
      <c r="A158" s="324" t="s">
        <v>4160</v>
      </c>
      <c r="B158" s="320"/>
      <c r="C158" s="320"/>
      <c r="D158" s="316"/>
      <c r="E158" s="468">
        <f>'Punten per wedstrijd'!I66*1.2</f>
        <v>163.79999999999998</v>
      </c>
      <c r="F158" s="468">
        <f>'Punten per wedstrijd'!I50</f>
        <v>425</v>
      </c>
      <c r="G158" s="313" t="s">
        <v>4556</v>
      </c>
      <c r="H158" s="320"/>
      <c r="I158" s="324" t="s">
        <v>4161</v>
      </c>
      <c r="J158" s="316"/>
      <c r="K158" s="317"/>
      <c r="L158" s="318"/>
      <c r="M158" s="468">
        <f>'Punten per wedstrijd'!J103*1.2</f>
        <v>596.28</v>
      </c>
      <c r="N158" s="468">
        <f>'Punten per wedstrijd'!J81</f>
        <v>490</v>
      </c>
      <c r="O158" s="313" t="s">
        <v>4557</v>
      </c>
      <c r="P158" s="320"/>
      <c r="Q158" s="324" t="s">
        <v>4162</v>
      </c>
      <c r="R158" s="317"/>
      <c r="S158" s="317"/>
      <c r="T158" s="317"/>
      <c r="U158" s="468">
        <f>'Punten per wedstrijd'!K81*1.2</f>
        <v>184.32</v>
      </c>
      <c r="V158" s="468">
        <f>'Punten per wedstrijd'!K50</f>
        <v>455.40000000000003</v>
      </c>
      <c r="W158" s="313" t="s">
        <v>4556</v>
      </c>
      <c r="X158" s="28"/>
      <c r="Y158" s="28"/>
      <c r="Z158" s="28"/>
    </row>
    <row r="159" spans="1:26" ht="15.75">
      <c r="A159" s="324" t="s">
        <v>4163</v>
      </c>
      <c r="B159" s="320"/>
      <c r="C159" s="320"/>
      <c r="D159" s="316"/>
      <c r="E159" s="468">
        <f>'Punten per wedstrijd'!I85*1.2</f>
        <v>479.51999999999992</v>
      </c>
      <c r="F159" s="468">
        <f>'Punten per wedstrijd'!I73</f>
        <v>84.5</v>
      </c>
      <c r="G159" s="313" t="s">
        <v>4555</v>
      </c>
      <c r="H159" s="320"/>
      <c r="I159" s="324" t="s">
        <v>4164</v>
      </c>
      <c r="J159" s="316"/>
      <c r="K159" s="317"/>
      <c r="L159" s="318"/>
      <c r="M159" s="468">
        <f>'Punten per wedstrijd'!J80*1.2</f>
        <v>650.7600000000001</v>
      </c>
      <c r="N159" s="468">
        <f>'Punten per wedstrijd'!J85</f>
        <v>396.8</v>
      </c>
      <c r="O159" s="313" t="s">
        <v>4555</v>
      </c>
      <c r="P159" s="320"/>
      <c r="Q159" s="324" t="s">
        <v>4165</v>
      </c>
      <c r="R159" s="317"/>
      <c r="S159" s="317"/>
      <c r="T159" s="317"/>
      <c r="U159" s="468">
        <f>'Punten per wedstrijd'!K66*1.2</f>
        <v>600.6</v>
      </c>
      <c r="V159" s="468">
        <f>'Punten per wedstrijd'!K73</f>
        <v>166.79999999999998</v>
      </c>
      <c r="W159" s="313" t="s">
        <v>4555</v>
      </c>
      <c r="X159" s="28"/>
      <c r="Y159" s="28"/>
      <c r="Z159" s="28"/>
    </row>
    <row r="160" spans="1:26" ht="15.75">
      <c r="A160" s="324" t="s">
        <v>2276</v>
      </c>
      <c r="B160" s="320"/>
      <c r="C160" s="320"/>
      <c r="D160" s="316"/>
      <c r="E160" s="468">
        <f>'Punten per wedstrijd'!I81*1.2</f>
        <v>176.16</v>
      </c>
      <c r="F160" s="468">
        <f>'Punten per wedstrijd'!I80</f>
        <v>386.8</v>
      </c>
      <c r="G160" s="313" t="s">
        <v>4556</v>
      </c>
      <c r="H160" s="320"/>
      <c r="I160" s="324" t="s">
        <v>4166</v>
      </c>
      <c r="J160" s="316"/>
      <c r="K160" s="317"/>
      <c r="L160" s="318"/>
      <c r="M160" s="468">
        <f>'Punten per wedstrijd'!J73*1.2</f>
        <v>690.6</v>
      </c>
      <c r="N160" s="468">
        <f>'Punten per wedstrijd'!J87</f>
        <v>621.79999999999995</v>
      </c>
      <c r="O160" s="313" t="s">
        <v>4557</v>
      </c>
      <c r="P160" s="320"/>
      <c r="Q160" s="324" t="s">
        <v>4200</v>
      </c>
      <c r="R160" s="317"/>
      <c r="S160" s="317"/>
      <c r="T160" s="317"/>
      <c r="U160" s="468">
        <f>'Punten per wedstrijd'!K85*1.2</f>
        <v>384.59999999999997</v>
      </c>
      <c r="V160" s="468">
        <f>'Punten per wedstrijd'!K87</f>
        <v>454.7</v>
      </c>
      <c r="W160" s="313" t="s">
        <v>4554</v>
      </c>
      <c r="X160" s="28"/>
      <c r="Y160" s="28"/>
      <c r="Z160" s="28"/>
    </row>
    <row r="161" spans="1:26" ht="15.75">
      <c r="A161" s="324" t="s">
        <v>4167</v>
      </c>
      <c r="B161" s="320"/>
      <c r="C161" s="320"/>
      <c r="D161" s="316"/>
      <c r="E161" s="468">
        <f>'Punten per wedstrijd'!I90*1.2</f>
        <v>288.36</v>
      </c>
      <c r="F161" s="468">
        <f>'Punten per wedstrijd'!I103</f>
        <v>196.9</v>
      </c>
      <c r="G161" s="313" t="s">
        <v>4555</v>
      </c>
      <c r="H161" s="320"/>
      <c r="I161" s="324" t="s">
        <v>4168</v>
      </c>
      <c r="J161" s="316"/>
      <c r="K161" s="317"/>
      <c r="L161" s="318"/>
      <c r="M161" s="468">
        <f>'Punten per wedstrijd'!J50*1.2</f>
        <v>752.40000000000009</v>
      </c>
      <c r="N161" s="468">
        <f>'Punten per wedstrijd'!J90</f>
        <v>742.89999999999986</v>
      </c>
      <c r="O161" s="313" t="s">
        <v>4557</v>
      </c>
      <c r="P161" s="320"/>
      <c r="Q161" s="324" t="s">
        <v>4169</v>
      </c>
      <c r="R161" s="317"/>
      <c r="S161" s="317"/>
      <c r="T161" s="317"/>
      <c r="U161" s="468">
        <f>'Punten per wedstrijd'!K80*1.2</f>
        <v>423.48</v>
      </c>
      <c r="V161" s="468">
        <f>'Punten per wedstrijd'!K103</f>
        <v>325.39999999999998</v>
      </c>
      <c r="W161" s="313" t="s">
        <v>4555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8"/>
      <c r="F162" s="468"/>
      <c r="G162" s="313"/>
      <c r="H162" s="320"/>
      <c r="I162" s="320"/>
      <c r="J162" s="316"/>
      <c r="K162" s="317"/>
      <c r="L162" s="318"/>
      <c r="M162" s="500"/>
      <c r="N162" s="500"/>
      <c r="O162" s="314"/>
      <c r="P162" s="320"/>
      <c r="Q162" s="316"/>
      <c r="R162" s="317"/>
      <c r="S162" s="317"/>
      <c r="T162" s="317"/>
      <c r="U162" s="500"/>
      <c r="V162" s="500"/>
      <c r="W162" s="314"/>
      <c r="X162" s="28"/>
      <c r="Y162" s="28"/>
      <c r="Z162" s="28"/>
    </row>
    <row r="163" spans="1:26" s="39" customFormat="1" ht="15.75">
      <c r="A163" s="319" t="s">
        <v>191</v>
      </c>
      <c r="B163" s="444"/>
      <c r="C163" s="444"/>
      <c r="D163" s="445"/>
      <c r="E163" s="468"/>
      <c r="F163" s="468"/>
      <c r="G163" s="447" t="s">
        <v>150</v>
      </c>
      <c r="H163" s="444"/>
      <c r="I163" s="319" t="s">
        <v>192</v>
      </c>
      <c r="J163" s="445"/>
      <c r="K163" s="444"/>
      <c r="L163" s="318"/>
      <c r="M163" s="500"/>
      <c r="N163" s="500"/>
      <c r="O163" s="447" t="s">
        <v>150</v>
      </c>
      <c r="P163" s="444"/>
      <c r="Q163" s="319" t="s">
        <v>195</v>
      </c>
      <c r="R163" s="444"/>
      <c r="S163" s="444"/>
      <c r="T163" s="444"/>
      <c r="U163" s="500"/>
      <c r="V163" s="500"/>
      <c r="W163" s="447" t="s">
        <v>150</v>
      </c>
    </row>
    <row r="164" spans="1:26" ht="15.75">
      <c r="A164" s="324" t="s">
        <v>4170</v>
      </c>
      <c r="B164" s="320"/>
      <c r="C164" s="320"/>
      <c r="D164" s="316"/>
      <c r="E164" s="468">
        <f>'Punten per wedstrijd'!L87*1.2</f>
        <v>540.72</v>
      </c>
      <c r="F164" s="468">
        <f>'Punten per wedstrijd'!L66</f>
        <v>201.3</v>
      </c>
      <c r="G164" s="313" t="s">
        <v>4555</v>
      </c>
      <c r="H164" s="320"/>
      <c r="I164" s="324" t="s">
        <v>4171</v>
      </c>
      <c r="J164" s="316"/>
      <c r="K164" s="317"/>
      <c r="L164" s="318"/>
      <c r="M164" s="468">
        <f>'Punten per wedstrijd'!M80*1.2</f>
        <v>648.23999999999978</v>
      </c>
      <c r="N164" s="468">
        <f>'Punten per wedstrijd'!M38</f>
        <v>581.49999999999909</v>
      </c>
      <c r="O164" s="313" t="s">
        <v>4557</v>
      </c>
      <c r="P164" s="320"/>
      <c r="Q164" s="324" t="s">
        <v>4172</v>
      </c>
      <c r="R164" s="317"/>
      <c r="S164" s="317"/>
      <c r="T164" s="317"/>
      <c r="U164" s="468"/>
      <c r="V164" s="468"/>
      <c r="W164" s="314"/>
      <c r="X164" s="28"/>
      <c r="Y164" s="28"/>
      <c r="Z164" s="28"/>
    </row>
    <row r="165" spans="1:26" ht="15.75">
      <c r="A165" s="324" t="s">
        <v>4173</v>
      </c>
      <c r="B165" s="320"/>
      <c r="C165" s="320"/>
      <c r="D165" s="316"/>
      <c r="E165" s="468">
        <f>'Punten per wedstrijd'!L50*1.2</f>
        <v>366.84</v>
      </c>
      <c r="F165" s="468">
        <f>'Punten per wedstrijd'!L80</f>
        <v>240.6</v>
      </c>
      <c r="G165" s="313" t="s">
        <v>4555</v>
      </c>
      <c r="H165" s="320"/>
      <c r="I165" s="324" t="s">
        <v>4174</v>
      </c>
      <c r="J165" s="316"/>
      <c r="K165" s="317"/>
      <c r="L165" s="318"/>
      <c r="M165" s="468">
        <f>'Punten per wedstrijd'!M103*1.2</f>
        <v>520.73999999999864</v>
      </c>
      <c r="N165" s="468">
        <f>'Punten per wedstrijd'!M50</f>
        <v>568.5</v>
      </c>
      <c r="O165" s="313" t="s">
        <v>4554</v>
      </c>
      <c r="P165" s="320"/>
      <c r="Q165" s="324" t="s">
        <v>4175</v>
      </c>
      <c r="R165" s="317"/>
      <c r="S165" s="317"/>
      <c r="T165" s="317"/>
      <c r="U165" s="468"/>
      <c r="V165" s="468"/>
      <c r="W165" s="314"/>
      <c r="X165" s="28"/>
      <c r="Y165" s="28"/>
      <c r="Z165" s="28"/>
    </row>
    <row r="166" spans="1:26" ht="15.75">
      <c r="A166" s="324" t="s">
        <v>4176</v>
      </c>
      <c r="B166" s="320"/>
      <c r="C166" s="320"/>
      <c r="D166" s="316"/>
      <c r="E166" s="468">
        <f>'Punten per wedstrijd'!L38*1.2</f>
        <v>168.72</v>
      </c>
      <c r="F166" s="468">
        <f>'Punten per wedstrijd'!L81</f>
        <v>119.5</v>
      </c>
      <c r="G166" s="313" t="s">
        <v>4555</v>
      </c>
      <c r="H166" s="320"/>
      <c r="I166" s="324" t="s">
        <v>4937</v>
      </c>
      <c r="J166" s="316"/>
      <c r="K166" s="317"/>
      <c r="L166" s="318"/>
      <c r="M166" s="468">
        <f>'Punten per wedstrijd'!M85*1.2</f>
        <v>549.47999999999843</v>
      </c>
      <c r="N166" s="468">
        <f>'Punten per wedstrijd'!M66</f>
        <v>588.85000000000218</v>
      </c>
      <c r="O166" s="313" t="s">
        <v>4554</v>
      </c>
      <c r="P166" s="320"/>
      <c r="Q166" s="324" t="s">
        <v>4177</v>
      </c>
      <c r="R166" s="317"/>
      <c r="S166" s="317"/>
      <c r="T166" s="317"/>
      <c r="U166" s="468"/>
      <c r="V166" s="468"/>
      <c r="W166" s="314"/>
      <c r="X166" s="28"/>
      <c r="Y166" s="28"/>
      <c r="Z166" s="28"/>
    </row>
    <row r="167" spans="1:26" ht="15.75">
      <c r="A167" s="324" t="s">
        <v>4178</v>
      </c>
      <c r="B167" s="320"/>
      <c r="C167" s="320"/>
      <c r="D167" s="316"/>
      <c r="E167" s="468">
        <f>'Punten per wedstrijd'!L103*1.2</f>
        <v>380.76</v>
      </c>
      <c r="F167" s="468">
        <f>'Punten per wedstrijd'!L85</f>
        <v>190.5</v>
      </c>
      <c r="G167" s="313" t="s">
        <v>4555</v>
      </c>
      <c r="H167" s="320"/>
      <c r="I167" s="324" t="s">
        <v>4179</v>
      </c>
      <c r="J167" s="316"/>
      <c r="K167" s="317"/>
      <c r="L167" s="318"/>
      <c r="M167" s="468">
        <f>'Punten per wedstrijd'!M81*1.2</f>
        <v>386.28000000000281</v>
      </c>
      <c r="N167" s="468">
        <f>'Punten per wedstrijd'!M73</f>
        <v>517.59999999999945</v>
      </c>
      <c r="O167" s="313" t="s">
        <v>4556</v>
      </c>
      <c r="P167" s="320"/>
      <c r="Q167" s="324" t="s">
        <v>4180</v>
      </c>
      <c r="R167" s="317"/>
      <c r="S167" s="317"/>
      <c r="T167" s="317"/>
      <c r="U167" s="468"/>
      <c r="V167" s="468"/>
      <c r="W167" s="313"/>
      <c r="X167" s="28"/>
      <c r="Y167" s="28"/>
      <c r="Z167" s="28"/>
    </row>
    <row r="168" spans="1:26" ht="15.75">
      <c r="A168" s="324" t="s">
        <v>4181</v>
      </c>
      <c r="B168" s="320"/>
      <c r="C168" s="320"/>
      <c r="D168" s="316"/>
      <c r="E168" s="468">
        <f>'Punten per wedstrijd'!L73*1.2</f>
        <v>173.4</v>
      </c>
      <c r="F168" s="468">
        <f>'Punten per wedstrijd'!L90</f>
        <v>538.4</v>
      </c>
      <c r="G168" s="313" t="s">
        <v>4556</v>
      </c>
      <c r="H168" s="320"/>
      <c r="I168" s="324" t="s">
        <v>4182</v>
      </c>
      <c r="J168" s="316"/>
      <c r="K168" s="317"/>
      <c r="L168" s="318"/>
      <c r="M168" s="468">
        <f>'Punten per wedstrijd'!M90*1.2</f>
        <v>967.80000000000109</v>
      </c>
      <c r="N168" s="468">
        <f>'Punten per wedstrijd'!M87</f>
        <v>734.55000000000018</v>
      </c>
      <c r="O168" s="313" t="s">
        <v>4555</v>
      </c>
      <c r="P168" s="320"/>
      <c r="Q168" s="324" t="s">
        <v>4183</v>
      </c>
      <c r="R168" s="317"/>
      <c r="S168" s="317"/>
      <c r="T168" s="317"/>
      <c r="U168" s="468"/>
      <c r="V168" s="468"/>
      <c r="W168" s="313"/>
      <c r="X168" s="28"/>
      <c r="Y168" s="28"/>
      <c r="Z168" s="28"/>
    </row>
    <row r="169" spans="1:26" ht="15.75">
      <c r="A169" s="323"/>
      <c r="B169" s="320"/>
      <c r="C169" s="320"/>
      <c r="D169" s="316"/>
      <c r="E169" s="468"/>
      <c r="F169" s="468"/>
      <c r="G169" s="311"/>
      <c r="H169" s="320"/>
      <c r="I169" s="316"/>
      <c r="J169" s="316"/>
      <c r="K169" s="317"/>
      <c r="L169" s="318"/>
      <c r="M169" s="500"/>
      <c r="N169" s="500"/>
      <c r="O169" s="314"/>
      <c r="P169" s="320"/>
      <c r="Q169" s="317"/>
      <c r="R169" s="317"/>
      <c r="S169" s="317"/>
      <c r="T169" s="317"/>
      <c r="U169" s="500"/>
      <c r="V169" s="500"/>
      <c r="W169" s="314"/>
      <c r="X169" s="28"/>
      <c r="Y169" s="28"/>
      <c r="Z169" s="28"/>
    </row>
    <row r="170" spans="1:26" s="39" customFormat="1" ht="15.75">
      <c r="A170" s="319" t="s">
        <v>193</v>
      </c>
      <c r="B170" s="444"/>
      <c r="C170" s="444"/>
      <c r="D170" s="445"/>
      <c r="E170" s="468"/>
      <c r="F170" s="468"/>
      <c r="G170" s="447" t="s">
        <v>150</v>
      </c>
      <c r="H170" s="444"/>
      <c r="I170" s="319" t="s">
        <v>194</v>
      </c>
      <c r="J170" s="445"/>
      <c r="K170" s="444"/>
      <c r="L170" s="318"/>
      <c r="M170" s="500"/>
      <c r="N170" s="500"/>
      <c r="O170" s="447" t="s">
        <v>150</v>
      </c>
      <c r="P170" s="444"/>
      <c r="Q170" s="319" t="s">
        <v>176</v>
      </c>
      <c r="R170" s="444"/>
      <c r="S170" s="444"/>
      <c r="T170" s="444"/>
      <c r="U170" s="500"/>
      <c r="V170" s="500"/>
      <c r="W170" s="447" t="s">
        <v>150</v>
      </c>
    </row>
    <row r="171" spans="1:26" ht="15.75">
      <c r="A171" s="324" t="s">
        <v>4184</v>
      </c>
      <c r="B171" s="320"/>
      <c r="C171" s="320"/>
      <c r="D171" s="316"/>
      <c r="E171" s="468"/>
      <c r="F171" s="468"/>
      <c r="G171" s="314"/>
      <c r="H171" s="320"/>
      <c r="I171" s="324" t="s">
        <v>4185</v>
      </c>
      <c r="J171" s="316"/>
      <c r="K171" s="317"/>
      <c r="L171" s="318"/>
      <c r="M171" s="468"/>
      <c r="N171" s="468"/>
      <c r="O171" s="314"/>
      <c r="P171" s="320"/>
      <c r="Q171" s="324" t="s">
        <v>4186</v>
      </c>
      <c r="R171" s="317"/>
      <c r="S171" s="317"/>
      <c r="T171" s="317"/>
      <c r="U171" s="468"/>
      <c r="V171" s="468"/>
      <c r="W171" s="314"/>
      <c r="X171" s="28"/>
      <c r="Y171" s="28"/>
      <c r="Z171" s="28"/>
    </row>
    <row r="172" spans="1:26" ht="15.75">
      <c r="A172" s="324" t="s">
        <v>4187</v>
      </c>
      <c r="B172" s="320"/>
      <c r="C172" s="320"/>
      <c r="D172" s="316"/>
      <c r="E172" s="468"/>
      <c r="F172" s="468"/>
      <c r="G172" s="314"/>
      <c r="H172" s="320"/>
      <c r="I172" s="324" t="s">
        <v>4188</v>
      </c>
      <c r="J172" s="316"/>
      <c r="K172" s="317"/>
      <c r="L172" s="318"/>
      <c r="M172" s="468"/>
      <c r="N172" s="468"/>
      <c r="O172" s="314"/>
      <c r="P172" s="320"/>
      <c r="Q172" s="324" t="s">
        <v>4189</v>
      </c>
      <c r="R172" s="317"/>
      <c r="S172" s="317"/>
      <c r="T172" s="317"/>
      <c r="U172" s="468"/>
      <c r="V172" s="468"/>
      <c r="W172" s="314"/>
      <c r="X172" s="28"/>
      <c r="Y172" s="28"/>
      <c r="Z172" s="28"/>
    </row>
    <row r="173" spans="1:26" ht="15.75">
      <c r="A173" s="324" t="s">
        <v>4190</v>
      </c>
      <c r="B173" s="320"/>
      <c r="C173" s="320"/>
      <c r="D173" s="316"/>
      <c r="E173" s="468"/>
      <c r="F173" s="468"/>
      <c r="G173" s="314"/>
      <c r="H173" s="320"/>
      <c r="I173" s="324" t="s">
        <v>4191</v>
      </c>
      <c r="J173" s="316"/>
      <c r="K173" s="317"/>
      <c r="L173" s="318"/>
      <c r="M173" s="468"/>
      <c r="N173" s="468"/>
      <c r="O173" s="314"/>
      <c r="P173" s="320"/>
      <c r="Q173" s="324" t="s">
        <v>4192</v>
      </c>
      <c r="R173" s="317"/>
      <c r="S173" s="317"/>
      <c r="T173" s="317"/>
      <c r="U173" s="468"/>
      <c r="V173" s="468"/>
      <c r="W173" s="313"/>
      <c r="X173" s="28"/>
      <c r="Y173" s="28"/>
      <c r="Z173" s="28"/>
    </row>
    <row r="174" spans="1:26" ht="15.75">
      <c r="A174" s="324" t="s">
        <v>4193</v>
      </c>
      <c r="B174" s="320"/>
      <c r="C174" s="320"/>
      <c r="D174" s="316"/>
      <c r="E174" s="468"/>
      <c r="F174" s="468"/>
      <c r="G174" s="313"/>
      <c r="H174" s="320"/>
      <c r="I174" s="324" t="s">
        <v>4194</v>
      </c>
      <c r="J174" s="316"/>
      <c r="K174" s="317"/>
      <c r="L174" s="318"/>
      <c r="M174" s="468"/>
      <c r="N174" s="468"/>
      <c r="O174" s="313"/>
      <c r="P174" s="320"/>
      <c r="Q174" s="324" t="s">
        <v>4195</v>
      </c>
      <c r="R174" s="317"/>
      <c r="S174" s="317"/>
      <c r="T174" s="317"/>
      <c r="U174" s="468"/>
      <c r="V174" s="468"/>
      <c r="W174" s="314"/>
      <c r="X174" s="28"/>
      <c r="Y174" s="28"/>
      <c r="Z174" s="28"/>
    </row>
    <row r="175" spans="1:26" ht="15.75">
      <c r="A175" s="324" t="s">
        <v>4196</v>
      </c>
      <c r="B175" s="320"/>
      <c r="C175" s="320"/>
      <c r="D175" s="316"/>
      <c r="E175" s="468"/>
      <c r="F175" s="468"/>
      <c r="G175" s="314"/>
      <c r="H175" s="316"/>
      <c r="I175" s="324" t="s">
        <v>4197</v>
      </c>
      <c r="J175" s="316"/>
      <c r="K175" s="317"/>
      <c r="L175" s="318"/>
      <c r="M175" s="468"/>
      <c r="N175" s="468"/>
      <c r="O175" s="313"/>
      <c r="P175" s="317"/>
      <c r="Q175" s="324" t="s">
        <v>4198</v>
      </c>
      <c r="R175" s="317"/>
      <c r="S175" s="317"/>
      <c r="T175" s="317"/>
      <c r="U175" s="468"/>
      <c r="V175" s="468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5">
      <c r="A178" s="298"/>
      <c r="D178" s="435" t="s">
        <v>3463</v>
      </c>
      <c r="E178" s="435" t="s">
        <v>3464</v>
      </c>
      <c r="F178" s="435" t="s">
        <v>843</v>
      </c>
      <c r="G178" s="435" t="s">
        <v>2528</v>
      </c>
      <c r="H178" s="435" t="s">
        <v>2197</v>
      </c>
      <c r="I178" s="435" t="s">
        <v>2199</v>
      </c>
      <c r="J178" s="435" t="s">
        <v>2198</v>
      </c>
      <c r="K178" s="435" t="s">
        <v>2200</v>
      </c>
      <c r="L178" s="435" t="s">
        <v>2201</v>
      </c>
      <c r="M178" s="435" t="s">
        <v>2202</v>
      </c>
      <c r="N178" s="435" t="s">
        <v>2203</v>
      </c>
      <c r="O178" s="435" t="s">
        <v>2204</v>
      </c>
      <c r="P178" s="435" t="s">
        <v>2205</v>
      </c>
      <c r="Q178" s="435" t="s">
        <v>2206</v>
      </c>
      <c r="R178" s="435" t="s">
        <v>2207</v>
      </c>
      <c r="S178" s="435" t="s">
        <v>2184</v>
      </c>
      <c r="T178" s="435" t="s">
        <v>2208</v>
      </c>
      <c r="U178" s="439" t="s">
        <v>2209</v>
      </c>
      <c r="V178" s="80" t="s">
        <v>40</v>
      </c>
      <c r="W178" s="28"/>
      <c r="X178" s="28"/>
      <c r="Y178" s="28"/>
      <c r="Z178" s="28"/>
    </row>
    <row r="179" spans="1:26" ht="15.75">
      <c r="A179" s="28" t="s">
        <v>3586</v>
      </c>
      <c r="D179" s="50">
        <v>2</v>
      </c>
      <c r="E179" s="50">
        <v>0</v>
      </c>
      <c r="F179" s="50">
        <v>3</v>
      </c>
      <c r="G179" s="50">
        <v>3</v>
      </c>
      <c r="H179" s="50">
        <v>3</v>
      </c>
      <c r="I179" s="50">
        <v>0</v>
      </c>
      <c r="J179" s="50">
        <v>0</v>
      </c>
      <c r="K179" s="50">
        <v>3</v>
      </c>
      <c r="L179" s="50">
        <v>2</v>
      </c>
      <c r="M179" s="50">
        <v>3</v>
      </c>
      <c r="N179" s="50">
        <v>2</v>
      </c>
      <c r="O179" s="50">
        <v>3</v>
      </c>
      <c r="P179" s="50">
        <v>3</v>
      </c>
      <c r="Q179" s="50">
        <v>2</v>
      </c>
      <c r="R179" s="50"/>
      <c r="S179" s="50"/>
      <c r="T179" s="50"/>
      <c r="U179" s="50"/>
      <c r="V179" s="303">
        <f>SUM(D179:U179)</f>
        <v>29</v>
      </c>
      <c r="W179" s="503">
        <f>SUM($E$137,$N$140,$U$137,$F$144,$M$144,$V$145,$F$150,$M$151,$V$153,$F$158,$M$161,$V$158,$E$165,$N$165,$U$166,$E$171,$N$172,$U$174)</f>
        <v>7226.0199999999968</v>
      </c>
      <c r="X179" s="50" t="s">
        <v>70</v>
      </c>
      <c r="Y179" s="28"/>
      <c r="Z179" s="28"/>
    </row>
    <row r="180" spans="1:26" ht="15.75">
      <c r="A180" s="28" t="s">
        <v>2272</v>
      </c>
      <c r="D180" s="50">
        <v>3</v>
      </c>
      <c r="E180" s="50">
        <v>3</v>
      </c>
      <c r="F180" s="50">
        <v>3</v>
      </c>
      <c r="G180" s="50">
        <v>0</v>
      </c>
      <c r="H180" s="50">
        <v>0</v>
      </c>
      <c r="I180" s="50">
        <v>2</v>
      </c>
      <c r="J180" s="50">
        <v>2</v>
      </c>
      <c r="K180" s="50">
        <v>3</v>
      </c>
      <c r="L180" s="50">
        <v>1</v>
      </c>
      <c r="M180" s="50">
        <v>3</v>
      </c>
      <c r="N180" s="50">
        <v>3</v>
      </c>
      <c r="O180" s="50">
        <v>3</v>
      </c>
      <c r="P180" s="50">
        <v>0</v>
      </c>
      <c r="Q180" s="50">
        <v>2</v>
      </c>
      <c r="R180" s="50"/>
      <c r="S180" s="50"/>
      <c r="T180" s="50"/>
      <c r="U180" s="50"/>
      <c r="V180" s="303">
        <f>SUM(D180:U180)</f>
        <v>28</v>
      </c>
      <c r="W180" s="503">
        <f>SUM($E$139,$N$138,$V$140,$E$144,$N$143,$U$143,$F$153,$M$152,$V$154,$F$160,$M$159,$U$161,$F$165,$M$164,$V$164,$E$174,$N$173,$U$175)</f>
        <v>7114.5400000000027</v>
      </c>
      <c r="X180" s="50" t="s">
        <v>71</v>
      </c>
      <c r="Y180" s="28"/>
      <c r="Z180" s="28"/>
    </row>
    <row r="181" spans="1:26" ht="15.75">
      <c r="A181" s="63" t="s">
        <v>3584</v>
      </c>
      <c r="D181" s="50">
        <v>0</v>
      </c>
      <c r="E181" s="50">
        <v>3</v>
      </c>
      <c r="F181" s="50">
        <v>0</v>
      </c>
      <c r="G181" s="50">
        <v>3</v>
      </c>
      <c r="H181" s="50">
        <v>1</v>
      </c>
      <c r="I181" s="50">
        <v>2</v>
      </c>
      <c r="J181" s="50">
        <v>0</v>
      </c>
      <c r="K181" s="50">
        <v>3</v>
      </c>
      <c r="L181" s="50">
        <v>2</v>
      </c>
      <c r="M181" s="50">
        <v>3</v>
      </c>
      <c r="N181" s="50">
        <v>1</v>
      </c>
      <c r="O181" s="50">
        <v>3</v>
      </c>
      <c r="P181" s="50">
        <v>3</v>
      </c>
      <c r="Q181" s="50">
        <v>3</v>
      </c>
      <c r="R181" s="50"/>
      <c r="S181" s="50"/>
      <c r="T181" s="50"/>
      <c r="U181" s="50"/>
      <c r="V181" s="303">
        <f>SUM(D181:U181)</f>
        <v>27</v>
      </c>
      <c r="W181" s="503">
        <f>SUM($F$140,$M$140,$V$136,$E$147,$N$147,$U$146,$E$154,$N$153,$U$154,$E$161,$N$161,$U$157,$F$168,$M$168,$V$167,$F$175,$M$174,$V$175)</f>
        <v>7681.53</v>
      </c>
      <c r="X181" s="50" t="s">
        <v>72</v>
      </c>
      <c r="Y181" s="28"/>
      <c r="Z181" s="299"/>
    </row>
    <row r="182" spans="1:26" ht="15.75">
      <c r="A182" s="328" t="s">
        <v>3580</v>
      </c>
      <c r="B182" s="327"/>
      <c r="C182" s="327"/>
      <c r="D182" s="330">
        <v>3</v>
      </c>
      <c r="E182" s="330">
        <v>0</v>
      </c>
      <c r="F182" s="330">
        <v>3</v>
      </c>
      <c r="G182" s="330">
        <v>3</v>
      </c>
      <c r="H182" s="330">
        <v>3</v>
      </c>
      <c r="I182" s="330">
        <v>2</v>
      </c>
      <c r="J182" s="330">
        <v>3</v>
      </c>
      <c r="K182" s="330">
        <v>3</v>
      </c>
      <c r="L182" s="330">
        <v>0</v>
      </c>
      <c r="M182" s="330">
        <v>0</v>
      </c>
      <c r="N182" s="330">
        <v>1</v>
      </c>
      <c r="O182" s="330">
        <v>0</v>
      </c>
      <c r="P182" s="330">
        <v>3</v>
      </c>
      <c r="Q182" s="330">
        <v>1</v>
      </c>
      <c r="R182" s="330"/>
      <c r="S182" s="330"/>
      <c r="T182" s="330"/>
      <c r="U182" s="330"/>
      <c r="V182" s="329">
        <f>SUM(D182:U182)</f>
        <v>25</v>
      </c>
      <c r="W182" s="504">
        <f>SUM($E$136,$N$136,$U$136,$F$145,$M$143,$V$147,$E$150,$M$150,$V$151,$F$157,$M$157,$V$157,$E$166,$N$164,$U$168,$F$171,$N$171,$U$172)</f>
        <v>7058.5599999999986</v>
      </c>
      <c r="X182" s="330" t="s">
        <v>73</v>
      </c>
      <c r="Y182" s="301"/>
      <c r="Z182" s="300"/>
    </row>
    <row r="183" spans="1:26" ht="15.75">
      <c r="A183" s="63" t="s">
        <v>3581</v>
      </c>
      <c r="D183" s="50">
        <v>1</v>
      </c>
      <c r="E183" s="50">
        <v>3</v>
      </c>
      <c r="F183" s="50">
        <v>3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3</v>
      </c>
      <c r="P183" s="50">
        <v>0</v>
      </c>
      <c r="Q183" s="50">
        <v>2</v>
      </c>
      <c r="R183" s="50"/>
      <c r="S183" s="50"/>
      <c r="T183" s="50"/>
      <c r="U183" s="50"/>
      <c r="V183" s="303">
        <f>SUM(D183:U183)</f>
        <v>24</v>
      </c>
      <c r="W183" s="503">
        <f>SUM($F$137,$M$136,$V$138,$E$143,$M$145,$V$146,$E$151,$N$152,$U$150,$E$158,$N$157,$U$159,$F$164,$N$166,$U$167,$F$172,$M$173,$V$171)</f>
        <v>7284.7200000000057</v>
      </c>
      <c r="X183" s="28"/>
      <c r="Y183" s="301"/>
      <c r="Z183" s="300"/>
    </row>
    <row r="184" spans="1:26" ht="15.75">
      <c r="A184" s="28" t="s">
        <v>2286</v>
      </c>
      <c r="D184" s="50">
        <v>3</v>
      </c>
      <c r="E184" s="50">
        <v>3</v>
      </c>
      <c r="F184" s="50">
        <v>0</v>
      </c>
      <c r="G184" s="50">
        <v>0</v>
      </c>
      <c r="H184" s="50">
        <v>3</v>
      </c>
      <c r="I184" s="50">
        <v>1</v>
      </c>
      <c r="J184" s="50">
        <v>3</v>
      </c>
      <c r="K184" s="50">
        <v>0</v>
      </c>
      <c r="L184" s="50">
        <v>3</v>
      </c>
      <c r="M184" s="50">
        <v>0</v>
      </c>
      <c r="N184" s="50">
        <v>2</v>
      </c>
      <c r="O184" s="50">
        <v>0</v>
      </c>
      <c r="P184" s="50">
        <v>0</v>
      </c>
      <c r="Q184" s="50">
        <v>3</v>
      </c>
      <c r="R184" s="50"/>
      <c r="S184" s="50"/>
      <c r="T184" s="50"/>
      <c r="U184" s="50"/>
      <c r="V184" s="303">
        <f>SUM(D184:U184)</f>
        <v>21</v>
      </c>
      <c r="W184" s="503">
        <f>SUM($E$138,$N$139,$U$138,$F$147,$M$146,$V$143,$E$152,$N$151,$U$151,$F$159,$M$160,$V$159,$E$168,$N$167,$U$164,$F$173,$M$172,$V$172)</f>
        <v>7196.8</v>
      </c>
      <c r="X184" s="28"/>
      <c r="Y184" s="301"/>
      <c r="Z184" s="300"/>
    </row>
    <row r="185" spans="1:26" ht="15.75">
      <c r="A185" s="63" t="s">
        <v>3583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/>
      <c r="S185" s="50"/>
      <c r="T185" s="50"/>
      <c r="U185" s="50"/>
      <c r="V185" s="303">
        <f>SUM(D185:U185)</f>
        <v>20</v>
      </c>
      <c r="W185" s="503">
        <f>SUM($F$136,$M$139,$U$139,$F$143,$M$147,$V$144,$E$153,$N$154,$U$153,$E$157,$N$160,$V$160,$E$164,$N$168,$U$165,$F$174,$M$175,$V$174)</f>
        <v>7037.62</v>
      </c>
      <c r="X185" s="28"/>
      <c r="Y185" s="301"/>
      <c r="Z185" s="300"/>
    </row>
    <row r="186" spans="1:26" ht="15.75">
      <c r="A186" s="63" t="s">
        <v>3585</v>
      </c>
      <c r="D186" s="50">
        <v>3</v>
      </c>
      <c r="E186" s="50">
        <v>3</v>
      </c>
      <c r="F186" s="50">
        <v>0</v>
      </c>
      <c r="G186" s="50">
        <v>3</v>
      </c>
      <c r="H186" s="50">
        <v>0</v>
      </c>
      <c r="I186" s="50">
        <v>1</v>
      </c>
      <c r="J186" s="50">
        <v>0</v>
      </c>
      <c r="K186" s="50">
        <v>2</v>
      </c>
      <c r="L186" s="50">
        <v>0</v>
      </c>
      <c r="M186" s="50">
        <v>0</v>
      </c>
      <c r="N186" s="50">
        <v>2</v>
      </c>
      <c r="O186" s="50">
        <v>0</v>
      </c>
      <c r="P186" s="50">
        <v>3</v>
      </c>
      <c r="Q186" s="50">
        <v>1</v>
      </c>
      <c r="R186" s="50"/>
      <c r="S186" s="50"/>
      <c r="T186" s="50"/>
      <c r="U186" s="50"/>
      <c r="V186" s="303">
        <f>SUM(D186:U186)</f>
        <v>18</v>
      </c>
      <c r="W186" s="503">
        <f>SUM($E$140,$N$137,$U$140,$F$146,$N$144,$U$147,$F$152,$M$154,$V$150,$F$161,$M$158,$V$161,$E$167,$M$165,$V$168,$E$173,$N$175,$U$171)</f>
        <v>5319.4099999999971</v>
      </c>
      <c r="X186" s="28"/>
      <c r="Y186" s="28"/>
      <c r="Z186" s="28"/>
    </row>
    <row r="187" spans="1:26" ht="15.75">
      <c r="A187" s="63" t="s">
        <v>3582</v>
      </c>
      <c r="D187" s="50">
        <v>0</v>
      </c>
      <c r="E187" s="50">
        <v>0</v>
      </c>
      <c r="F187" s="50">
        <v>3</v>
      </c>
      <c r="G187" s="50">
        <v>0</v>
      </c>
      <c r="H187" s="50">
        <v>0</v>
      </c>
      <c r="I187" s="50">
        <v>3</v>
      </c>
      <c r="J187" s="50">
        <v>3</v>
      </c>
      <c r="K187" s="50">
        <v>0</v>
      </c>
      <c r="L187" s="50">
        <v>3</v>
      </c>
      <c r="M187" s="50">
        <v>3</v>
      </c>
      <c r="N187" s="50">
        <v>0</v>
      </c>
      <c r="O187" s="50">
        <v>1</v>
      </c>
      <c r="P187" s="50">
        <v>0</v>
      </c>
      <c r="Q187" s="50">
        <v>1</v>
      </c>
      <c r="R187" s="50"/>
      <c r="S187" s="50"/>
      <c r="T187" s="50"/>
      <c r="U187" s="50"/>
      <c r="V187" s="303">
        <f>SUM(D187:U187)</f>
        <v>17</v>
      </c>
      <c r="W187" s="503">
        <f>SUM($F$138,$M$138,$V$139,$E$146,$N$145,$U$145,$F$154,$N$150,$U$152,$E$159,$N$159,$U$160,$F$167,$M$166,$V$166,$E$175,$M$171,$V$173)</f>
        <v>6535.3599999999951</v>
      </c>
      <c r="X187" s="28"/>
      <c r="Y187" s="28"/>
      <c r="Z187" s="28"/>
    </row>
    <row r="188" spans="1:26" ht="15.75">
      <c r="A188" s="535" t="s">
        <v>2273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/>
      <c r="S188" s="50"/>
      <c r="T188" s="50"/>
      <c r="U188" s="50"/>
      <c r="V188" s="303">
        <f>SUM(D188:U188)</f>
        <v>1</v>
      </c>
      <c r="W188" s="503">
        <f>SUM($F$139,$M$137,$V$137,$E$145,$N$146,$U$144,$F$151,$M$153,$V$152,$E$160,$N$158,$U$158,$F$166,$M$167,$V$165,$E$172,$N$174,$U$173)</f>
        <v>3970.2400000000039</v>
      </c>
      <c r="X188" s="28"/>
      <c r="Y188" s="28"/>
      <c r="Z188" s="299"/>
    </row>
    <row r="189" spans="1:26" ht="1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2"/>
      <c r="X189" s="28"/>
      <c r="Y189" s="301"/>
      <c r="Z189" s="300"/>
    </row>
    <row r="190" spans="1:26" ht="1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2"/>
      <c r="W190" s="469">
        <f>SUM(W179:W188)</f>
        <v>66424.800000000003</v>
      </c>
      <c r="X190" s="28"/>
      <c r="Y190" s="301"/>
      <c r="Z190" s="300"/>
    </row>
    <row r="191" spans="1:26" ht="1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2"/>
      <c r="W191" s="469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2164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4"/>
      <c r="C195" s="444"/>
      <c r="D195" s="445"/>
      <c r="E195" s="445"/>
      <c r="F195" s="445"/>
      <c r="G195" s="318" t="s">
        <v>150</v>
      </c>
      <c r="H195" s="444"/>
      <c r="I195" s="319" t="s">
        <v>184</v>
      </c>
      <c r="J195" s="445"/>
      <c r="K195" s="444"/>
      <c r="L195" s="318"/>
      <c r="M195" s="444"/>
      <c r="N195" s="444"/>
      <c r="O195" s="318" t="s">
        <v>150</v>
      </c>
      <c r="P195" s="444"/>
      <c r="Q195" s="319" t="s">
        <v>843</v>
      </c>
      <c r="R195" s="444"/>
      <c r="S195" s="444"/>
      <c r="T195" s="444"/>
      <c r="U195" s="500"/>
      <c r="V195" s="500"/>
      <c r="W195" s="318" t="s">
        <v>150</v>
      </c>
    </row>
    <row r="196" spans="1:26" ht="15.75">
      <c r="A196" s="324" t="s">
        <v>3622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4555</v>
      </c>
      <c r="H196" s="320"/>
      <c r="I196" s="324" t="s">
        <v>3698</v>
      </c>
      <c r="J196" s="316"/>
      <c r="K196" s="317"/>
      <c r="L196" s="318"/>
      <c r="M196" s="468">
        <f>'Punten per wedstrijd'!E47*1.2</f>
        <v>171.95999999999995</v>
      </c>
      <c r="N196" s="468">
        <f>'Punten per wedstrijd'!E14</f>
        <v>157.10000000000014</v>
      </c>
      <c r="O196" s="313" t="s">
        <v>4557</v>
      </c>
      <c r="P196" s="320"/>
      <c r="Q196" s="324" t="s">
        <v>3703</v>
      </c>
      <c r="R196" s="317"/>
      <c r="S196" s="317"/>
      <c r="T196" s="317"/>
      <c r="U196" s="468">
        <f>'Punten per wedstrijd'!F118*1.2</f>
        <v>924.83999999999969</v>
      </c>
      <c r="V196" s="468">
        <f>'Punten per wedstrijd'!F173</f>
        <v>717.49999999999977</v>
      </c>
      <c r="W196" s="313" t="s">
        <v>4555</v>
      </c>
    </row>
    <row r="197" spans="1:26" ht="15.75">
      <c r="A197" s="324" t="s">
        <v>3623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4555</v>
      </c>
      <c r="H197" s="320"/>
      <c r="I197" s="324" t="s">
        <v>3699</v>
      </c>
      <c r="J197" s="316"/>
      <c r="K197" s="317"/>
      <c r="L197" s="318"/>
      <c r="M197" s="468">
        <f>'Punten per wedstrijd'!E57*1.2</f>
        <v>173.88000000000002</v>
      </c>
      <c r="N197" s="468">
        <f>'Punten per wedstrijd'!E101</f>
        <v>35.200000000000045</v>
      </c>
      <c r="O197" s="313" t="s">
        <v>4555</v>
      </c>
      <c r="P197" s="320"/>
      <c r="Q197" s="324" t="s">
        <v>3704</v>
      </c>
      <c r="R197" s="317"/>
      <c r="S197" s="317"/>
      <c r="T197" s="317"/>
      <c r="U197" s="468">
        <f>'Punten per wedstrijd'!F126*1.2</f>
        <v>472.3199999999988</v>
      </c>
      <c r="V197" s="468">
        <f>'Punten per wedstrijd'!F161</f>
        <v>580.10000000000059</v>
      </c>
      <c r="W197" s="313" t="s">
        <v>4554</v>
      </c>
    </row>
    <row r="198" spans="1:26" ht="15.75">
      <c r="A198" s="324" t="s">
        <v>3624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4555</v>
      </c>
      <c r="H198" s="320"/>
      <c r="I198" s="324" t="s">
        <v>3700</v>
      </c>
      <c r="J198" s="316"/>
      <c r="K198" s="317"/>
      <c r="L198" s="318"/>
      <c r="M198" s="468">
        <f>'Punten per wedstrijd'!E58*1.2</f>
        <v>345.95999999999992</v>
      </c>
      <c r="N198" s="468">
        <f>'Punten per wedstrijd'!E53</f>
        <v>269.00000000000006</v>
      </c>
      <c r="O198" s="313" t="s">
        <v>4555</v>
      </c>
      <c r="P198" s="320"/>
      <c r="Q198" s="324" t="s">
        <v>3705</v>
      </c>
      <c r="R198" s="317"/>
      <c r="S198" s="317"/>
      <c r="T198" s="317"/>
      <c r="U198" s="468">
        <f>'Punten per wedstrijd'!F155*1.2</f>
        <v>974.76000000000022</v>
      </c>
      <c r="V198" s="468">
        <f>'Punten per wedstrijd'!F151</f>
        <v>620.19999999999982</v>
      </c>
      <c r="W198" s="313" t="s">
        <v>4555</v>
      </c>
    </row>
    <row r="199" spans="1:26" ht="15.75">
      <c r="A199" s="324" t="s">
        <v>3625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4557</v>
      </c>
      <c r="H199" s="320"/>
      <c r="I199" s="324" t="s">
        <v>3701</v>
      </c>
      <c r="J199" s="316"/>
      <c r="K199" s="317"/>
      <c r="L199" s="318"/>
      <c r="M199" s="468">
        <f>'Punten per wedstrijd'!E63*1.2</f>
        <v>272.1600000000002</v>
      </c>
      <c r="N199" s="468">
        <f>'Punten per wedstrijd'!E51</f>
        <v>103.70000000000005</v>
      </c>
      <c r="O199" s="313" t="s">
        <v>4555</v>
      </c>
      <c r="P199" s="320"/>
      <c r="Q199" s="324" t="s">
        <v>3706</v>
      </c>
      <c r="R199" s="317"/>
      <c r="S199" s="317"/>
      <c r="T199" s="317"/>
      <c r="U199" s="468">
        <f>'Punten per wedstrijd'!F167*1.2</f>
        <v>501.11999999999989</v>
      </c>
      <c r="V199" s="468">
        <f>'Punten per wedstrijd'!F162</f>
        <v>767.20000000000027</v>
      </c>
      <c r="W199" s="313" t="s">
        <v>4556</v>
      </c>
    </row>
    <row r="200" spans="1:26" ht="15.75">
      <c r="A200" s="324" t="s">
        <v>3626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4555</v>
      </c>
      <c r="H200" s="320"/>
      <c r="I200" s="324" t="s">
        <v>3702</v>
      </c>
      <c r="J200" s="316"/>
      <c r="K200" s="317"/>
      <c r="L200" s="318"/>
      <c r="M200" s="468">
        <f>'Punten per wedstrijd'!E69*1.2</f>
        <v>43.919999999999959</v>
      </c>
      <c r="N200" s="468">
        <f>'Punten per wedstrijd'!E22</f>
        <v>232</v>
      </c>
      <c r="O200" s="313" t="s">
        <v>4556</v>
      </c>
      <c r="P200" s="320"/>
      <c r="Q200" s="324" t="s">
        <v>3707</v>
      </c>
      <c r="R200" s="317"/>
      <c r="S200" s="317"/>
      <c r="T200" s="317"/>
      <c r="U200" s="468">
        <f>'Punten per wedstrijd'!F205*1.2</f>
        <v>800.4</v>
      </c>
      <c r="V200" s="468">
        <f>'Punten per wedstrijd'!F157</f>
        <v>339.70000000000005</v>
      </c>
      <c r="W200" s="313" t="s">
        <v>4555</v>
      </c>
    </row>
    <row r="201" spans="1:26" ht="15.75">
      <c r="A201" s="323"/>
      <c r="B201" s="320"/>
      <c r="C201" s="320"/>
      <c r="D201" s="316"/>
      <c r="E201" s="468"/>
      <c r="F201" s="468"/>
      <c r="G201" s="313"/>
      <c r="H201" s="320"/>
      <c r="I201" s="320"/>
      <c r="J201" s="316"/>
      <c r="K201" s="317"/>
      <c r="L201" s="318"/>
      <c r="M201" s="500"/>
      <c r="N201" s="500"/>
      <c r="O201" s="314"/>
      <c r="P201" s="320"/>
      <c r="Q201" s="316"/>
      <c r="R201" s="317"/>
      <c r="S201" s="317"/>
      <c r="T201" s="317"/>
      <c r="U201" s="500"/>
      <c r="V201" s="500"/>
      <c r="W201" s="314"/>
    </row>
    <row r="202" spans="1:26" s="39" customFormat="1" ht="15.75">
      <c r="A202" s="319" t="s">
        <v>2210</v>
      </c>
      <c r="B202" s="444"/>
      <c r="C202" s="444"/>
      <c r="D202" s="445"/>
      <c r="E202" s="468"/>
      <c r="F202" s="468"/>
      <c r="G202" s="447" t="s">
        <v>150</v>
      </c>
      <c r="H202" s="444"/>
      <c r="I202" s="319" t="s">
        <v>186</v>
      </c>
      <c r="J202" s="445"/>
      <c r="K202" s="444"/>
      <c r="L202" s="318"/>
      <c r="M202" s="500"/>
      <c r="N202" s="500"/>
      <c r="O202" s="447" t="s">
        <v>150</v>
      </c>
      <c r="P202" s="444"/>
      <c r="Q202" s="319" t="s">
        <v>175</v>
      </c>
      <c r="R202" s="444"/>
      <c r="S202" s="444"/>
      <c r="T202" s="444"/>
      <c r="U202" s="500"/>
      <c r="V202" s="500"/>
      <c r="W202" s="447" t="s">
        <v>150</v>
      </c>
    </row>
    <row r="203" spans="1:26" ht="15.75">
      <c r="A203" s="324" t="s">
        <v>3708</v>
      </c>
      <c r="B203" s="320"/>
      <c r="C203" s="320"/>
      <c r="D203" s="316"/>
      <c r="E203" s="468">
        <f>'Punten per wedstrijd'!F47*1.2</f>
        <v>456.59999999999945</v>
      </c>
      <c r="F203" s="468">
        <f>'Punten per wedstrijd'!F63</f>
        <v>253.5</v>
      </c>
      <c r="G203" s="313" t="s">
        <v>4555</v>
      </c>
      <c r="H203" s="320"/>
      <c r="I203" s="324" t="s">
        <v>3713</v>
      </c>
      <c r="J203" s="316"/>
      <c r="K203" s="317"/>
      <c r="L203" s="318"/>
      <c r="M203" s="468">
        <f>'Punten per wedstrijd'!G14*1.2</f>
        <v>287.63999999999976</v>
      </c>
      <c r="N203" s="468">
        <f>'Punten per wedstrijd'!G53</f>
        <v>249.40000000000009</v>
      </c>
      <c r="O203" s="313" t="s">
        <v>4557</v>
      </c>
      <c r="P203" s="320"/>
      <c r="Q203" s="324" t="s">
        <v>3718</v>
      </c>
      <c r="R203" s="317"/>
      <c r="S203" s="317"/>
      <c r="T203" s="317"/>
      <c r="U203" s="468">
        <f>'Punten per wedstrijd'!G157*1.2</f>
        <v>756.60000000000048</v>
      </c>
      <c r="V203" s="468">
        <f>'Punten per wedstrijd'!G155</f>
        <v>1045.5999999999995</v>
      </c>
      <c r="W203" s="313" t="s">
        <v>4556</v>
      </c>
    </row>
    <row r="204" spans="1:26" ht="15.75">
      <c r="A204" s="324" t="s">
        <v>3709</v>
      </c>
      <c r="B204" s="320"/>
      <c r="C204" s="320"/>
      <c r="D204" s="316"/>
      <c r="E204" s="468">
        <f>'Punten per wedstrijd'!F53*1.2</f>
        <v>618</v>
      </c>
      <c r="F204" s="468">
        <f>'Punten per wedstrijd'!F22</f>
        <v>234.99999999999977</v>
      </c>
      <c r="G204" s="313" t="s">
        <v>4555</v>
      </c>
      <c r="H204" s="320"/>
      <c r="I204" s="324" t="s">
        <v>3714</v>
      </c>
      <c r="J204" s="316"/>
      <c r="K204" s="317"/>
      <c r="L204" s="318"/>
      <c r="M204" s="468">
        <f>'Punten per wedstrijd'!G22*1.2</f>
        <v>243</v>
      </c>
      <c r="N204" s="468">
        <f>'Punten per wedstrijd'!G101</f>
        <v>356.400000000001</v>
      </c>
      <c r="O204" s="313" t="s">
        <v>4556</v>
      </c>
      <c r="P204" s="320"/>
      <c r="Q204" s="324" t="s">
        <v>3719</v>
      </c>
      <c r="R204" s="317"/>
      <c r="S204" s="317"/>
      <c r="T204" s="317"/>
      <c r="U204" s="468">
        <f>'Punten per wedstrijd'!G161*1.2</f>
        <v>608.88000000000068</v>
      </c>
      <c r="V204" s="468">
        <f>'Punten per wedstrijd'!G167</f>
        <v>768.19999999999936</v>
      </c>
      <c r="W204" s="313" t="s">
        <v>4556</v>
      </c>
    </row>
    <row r="205" spans="1:26" ht="15.75">
      <c r="A205" s="324" t="s">
        <v>3710</v>
      </c>
      <c r="B205" s="320"/>
      <c r="C205" s="320"/>
      <c r="D205" s="316"/>
      <c r="E205" s="468">
        <f>'Punten per wedstrijd'!F57*1.2</f>
        <v>180.12000000000015</v>
      </c>
      <c r="F205" s="468">
        <f>'Punten per wedstrijd'!F14</f>
        <v>361.29999999999973</v>
      </c>
      <c r="G205" s="313" t="s">
        <v>4556</v>
      </c>
      <c r="H205" s="320"/>
      <c r="I205" s="324" t="s">
        <v>3715</v>
      </c>
      <c r="J205" s="316"/>
      <c r="K205" s="317"/>
      <c r="L205" s="318"/>
      <c r="M205" s="468">
        <f>'Punten per wedstrijd'!G47*1.2</f>
        <v>214.91999999999933</v>
      </c>
      <c r="N205" s="468">
        <f>'Punten per wedstrijd'!G58</f>
        <v>372.50000000000091</v>
      </c>
      <c r="O205" s="313" t="s">
        <v>4556</v>
      </c>
      <c r="P205" s="320"/>
      <c r="Q205" s="324" t="s">
        <v>3720</v>
      </c>
      <c r="R205" s="317"/>
      <c r="S205" s="317"/>
      <c r="T205" s="317"/>
      <c r="U205" s="468">
        <f>'Punten per wedstrijd'!G162*1.2</f>
        <v>1078.0800000000006</v>
      </c>
      <c r="V205" s="468">
        <f>'Punten per wedstrijd'!G126</f>
        <v>969.89999999999918</v>
      </c>
      <c r="W205" s="313" t="s">
        <v>4557</v>
      </c>
    </row>
    <row r="206" spans="1:26" ht="15.75">
      <c r="A206" s="324" t="s">
        <v>3711</v>
      </c>
      <c r="B206" s="320"/>
      <c r="C206" s="320"/>
      <c r="D206" s="316"/>
      <c r="E206" s="468">
        <f>'Punten per wedstrijd'!F58*1.2</f>
        <v>294.35999999999996</v>
      </c>
      <c r="F206" s="468">
        <f>'Punten per wedstrijd'!F101</f>
        <v>284.20000000000005</v>
      </c>
      <c r="G206" s="313" t="s">
        <v>4557</v>
      </c>
      <c r="H206" s="320"/>
      <c r="I206" s="324" t="s">
        <v>3716</v>
      </c>
      <c r="J206" s="316"/>
      <c r="K206" s="317"/>
      <c r="L206" s="318"/>
      <c r="M206" s="468">
        <f>'Punten per wedstrijd'!G51*1.2</f>
        <v>349.31999999999988</v>
      </c>
      <c r="N206" s="468">
        <f>'Punten per wedstrijd'!G57</f>
        <v>222.00000000000045</v>
      </c>
      <c r="O206" s="313" t="s">
        <v>4555</v>
      </c>
      <c r="P206" s="320"/>
      <c r="Q206" s="324" t="s">
        <v>3721</v>
      </c>
      <c r="R206" s="317"/>
      <c r="S206" s="317"/>
      <c r="T206" s="317"/>
      <c r="U206" s="468">
        <f>'Punten per wedstrijd'!G173*1.2</f>
        <v>707.4</v>
      </c>
      <c r="V206" s="468">
        <f>'Punten per wedstrijd'!G151</f>
        <v>631.19999999999936</v>
      </c>
      <c r="W206" s="313" t="s">
        <v>4557</v>
      </c>
    </row>
    <row r="207" spans="1:26" ht="15.75">
      <c r="A207" s="324" t="s">
        <v>3712</v>
      </c>
      <c r="B207" s="320"/>
      <c r="C207" s="320"/>
      <c r="D207" s="316"/>
      <c r="E207" s="468">
        <f>'Punten per wedstrijd'!F69*1.2</f>
        <v>291.71999999999963</v>
      </c>
      <c r="F207" s="468">
        <f>'Punten per wedstrijd'!F51</f>
        <v>255.69999999999982</v>
      </c>
      <c r="G207" s="313" t="s">
        <v>4557</v>
      </c>
      <c r="H207" s="320"/>
      <c r="I207" s="324" t="s">
        <v>3717</v>
      </c>
      <c r="J207" s="316"/>
      <c r="K207" s="317"/>
      <c r="L207" s="318"/>
      <c r="M207" s="468">
        <f>'Punten per wedstrijd'!G63*1.2</f>
        <v>396.48000000000008</v>
      </c>
      <c r="N207" s="468">
        <f>'Punten per wedstrijd'!G69</f>
        <v>315.59999999999991</v>
      </c>
      <c r="O207" s="313" t="s">
        <v>4555</v>
      </c>
      <c r="P207" s="320"/>
      <c r="Q207" s="324" t="s">
        <v>3722</v>
      </c>
      <c r="R207" s="317"/>
      <c r="S207" s="317"/>
      <c r="T207" s="317"/>
      <c r="U207" s="468">
        <f>'Punten per wedstrijd'!G205*1.2</f>
        <v>1307.3999999999994</v>
      </c>
      <c r="V207" s="468">
        <f>'Punten per wedstrijd'!G118</f>
        <v>880.79999999999973</v>
      </c>
      <c r="W207" s="313" t="s">
        <v>4555</v>
      </c>
    </row>
    <row r="208" spans="1:26" ht="15.75">
      <c r="A208" s="323"/>
      <c r="B208" s="320"/>
      <c r="C208" s="320"/>
      <c r="D208" s="316"/>
      <c r="E208" s="468"/>
      <c r="F208" s="468"/>
      <c r="G208" s="311"/>
      <c r="H208" s="320"/>
      <c r="I208" s="316"/>
      <c r="J208" s="316"/>
      <c r="K208" s="317"/>
      <c r="L208" s="318"/>
      <c r="M208" s="500"/>
      <c r="N208" s="500"/>
      <c r="O208" s="314"/>
      <c r="P208" s="320"/>
      <c r="Q208" s="317"/>
      <c r="R208" s="317"/>
      <c r="S208" s="317"/>
      <c r="T208" s="317"/>
      <c r="U208" s="500"/>
      <c r="V208" s="500"/>
      <c r="W208" s="314"/>
    </row>
    <row r="209" spans="1:24" s="39" customFormat="1" ht="15.75">
      <c r="A209" s="319" t="s">
        <v>187</v>
      </c>
      <c r="B209" s="444"/>
      <c r="C209" s="444"/>
      <c r="D209" s="445"/>
      <c r="E209" s="468"/>
      <c r="F209" s="468"/>
      <c r="G209" s="447" t="s">
        <v>150</v>
      </c>
      <c r="H209" s="444"/>
      <c r="I209" s="319" t="s">
        <v>188</v>
      </c>
      <c r="J209" s="445"/>
      <c r="K209" s="444"/>
      <c r="L209" s="318"/>
      <c r="M209" s="500"/>
      <c r="N209" s="500"/>
      <c r="O209" s="447" t="s">
        <v>150</v>
      </c>
      <c r="P209" s="444"/>
      <c r="Q209" s="319" t="s">
        <v>2211</v>
      </c>
      <c r="R209" s="444"/>
      <c r="S209" s="444"/>
      <c r="T209" s="444"/>
      <c r="U209" s="500"/>
      <c r="V209" s="500"/>
      <c r="W209" s="447" t="s">
        <v>150</v>
      </c>
    </row>
    <row r="210" spans="1:24" ht="15.75">
      <c r="A210" s="324" t="s">
        <v>3723</v>
      </c>
      <c r="B210" s="320"/>
      <c r="C210" s="320"/>
      <c r="D210" s="316"/>
      <c r="E210" s="468">
        <f>'Punten per wedstrijd'!H118*1.2</f>
        <v>987.3599999999991</v>
      </c>
      <c r="F210" s="468">
        <f>'Punten per wedstrijd'!H126</f>
        <v>220.09999999999945</v>
      </c>
      <c r="G210" s="313" t="s">
        <v>4555</v>
      </c>
      <c r="H210" s="320"/>
      <c r="I210" s="324" t="s">
        <v>3728</v>
      </c>
      <c r="J210" s="316"/>
      <c r="K210" s="317"/>
      <c r="L210" s="318"/>
      <c r="M210" s="468">
        <f>'Punten per wedstrijd'!H14*1.2</f>
        <v>674.75999999999806</v>
      </c>
      <c r="N210" s="468">
        <f>'Punten per wedstrijd'!H58</f>
        <v>520.19999999999982</v>
      </c>
      <c r="O210" s="313" t="s">
        <v>4555</v>
      </c>
      <c r="P210" s="320"/>
      <c r="Q210" s="324" t="s">
        <v>3733</v>
      </c>
      <c r="R210" s="317"/>
      <c r="S210" s="317"/>
      <c r="T210" s="317"/>
      <c r="U210" s="468">
        <f>'Punten per wedstrijd'!I151*1.2</f>
        <v>1000.8000000000033</v>
      </c>
      <c r="V210" s="468">
        <f>'Punten per wedstrijd'!I205</f>
        <v>1163.1000000000022</v>
      </c>
      <c r="W210" s="313" t="s">
        <v>4554</v>
      </c>
    </row>
    <row r="211" spans="1:24" ht="15.75">
      <c r="A211" s="324" t="s">
        <v>3724</v>
      </c>
      <c r="B211" s="320"/>
      <c r="C211" s="320"/>
      <c r="D211" s="316"/>
      <c r="E211" s="468">
        <f>'Punten per wedstrijd'!H151*1.2</f>
        <v>712.13999999999976</v>
      </c>
      <c r="F211" s="468">
        <f>'Punten per wedstrijd'!H161</f>
        <v>947.50000000000136</v>
      </c>
      <c r="G211" s="313" t="s">
        <v>4556</v>
      </c>
      <c r="H211" s="320"/>
      <c r="I211" s="324" t="s">
        <v>3729</v>
      </c>
      <c r="J211" s="316"/>
      <c r="K211" s="317"/>
      <c r="L211" s="318"/>
      <c r="M211" s="468">
        <f>'Punten per wedstrijd'!H22*1.2</f>
        <v>699.47999999999843</v>
      </c>
      <c r="N211" s="468">
        <f>'Punten per wedstrijd'!H51</f>
        <v>595.49999999999909</v>
      </c>
      <c r="O211" s="313" t="s">
        <v>4557</v>
      </c>
      <c r="P211" s="320"/>
      <c r="Q211" s="324" t="s">
        <v>3734</v>
      </c>
      <c r="R211" s="317"/>
      <c r="S211" s="317"/>
      <c r="T211" s="317"/>
      <c r="U211" s="468">
        <f>'Punten per wedstrijd'!I155*1.2</f>
        <v>1142.9999999999977</v>
      </c>
      <c r="V211" s="468">
        <f>'Punten per wedstrijd'!I118</f>
        <v>943.99999999999818</v>
      </c>
      <c r="W211" s="313" t="s">
        <v>4557</v>
      </c>
    </row>
    <row r="212" spans="1:24" ht="15.75">
      <c r="A212" s="324" t="s">
        <v>3725</v>
      </c>
      <c r="B212" s="320"/>
      <c r="C212" s="320"/>
      <c r="D212" s="316"/>
      <c r="E212" s="468">
        <f>'Punten per wedstrijd'!H155*1.2</f>
        <v>694.6799999999995</v>
      </c>
      <c r="F212" s="468">
        <f>'Punten per wedstrijd'!H205</f>
        <v>812.5</v>
      </c>
      <c r="G212" s="313" t="s">
        <v>4554</v>
      </c>
      <c r="H212" s="320"/>
      <c r="I212" s="324" t="s">
        <v>3730</v>
      </c>
      <c r="J212" s="316"/>
      <c r="K212" s="317"/>
      <c r="L212" s="318"/>
      <c r="M212" s="468">
        <f>'Punten per wedstrijd'!H53*1.2</f>
        <v>589.2000000000005</v>
      </c>
      <c r="N212" s="468">
        <f>'Punten per wedstrijd'!H47</f>
        <v>860.35000000000082</v>
      </c>
      <c r="O212" s="313" t="s">
        <v>4556</v>
      </c>
      <c r="P212" s="320"/>
      <c r="Q212" s="324" t="s">
        <v>2317</v>
      </c>
      <c r="R212" s="317"/>
      <c r="S212" s="317"/>
      <c r="T212" s="317"/>
      <c r="U212" s="468">
        <f>'Punten per wedstrijd'!I162*1.2</f>
        <v>842.63999999999976</v>
      </c>
      <c r="V212" s="468">
        <f>'Punten per wedstrijd'!I161</f>
        <v>887.89999999999873</v>
      </c>
      <c r="W212" s="313" t="s">
        <v>4554</v>
      </c>
    </row>
    <row r="213" spans="1:24" ht="15.75">
      <c r="A213" s="324" t="s">
        <v>3726</v>
      </c>
      <c r="B213" s="320"/>
      <c r="C213" s="320"/>
      <c r="D213" s="316"/>
      <c r="E213" s="468">
        <f>'Punten per wedstrijd'!H167*1.2</f>
        <v>756.59999999999945</v>
      </c>
      <c r="F213" s="468">
        <f>'Punten per wedstrijd'!H157</f>
        <v>601.99999999999955</v>
      </c>
      <c r="G213" s="313" t="s">
        <v>4555</v>
      </c>
      <c r="H213" s="320"/>
      <c r="I213" s="324" t="s">
        <v>3731</v>
      </c>
      <c r="J213" s="316"/>
      <c r="K213" s="317"/>
      <c r="L213" s="318"/>
      <c r="M213" s="468">
        <f>'Punten per wedstrijd'!H57*1.2</f>
        <v>545.40000000000111</v>
      </c>
      <c r="N213" s="468">
        <f>'Punten per wedstrijd'!H69</f>
        <v>432.300000000002</v>
      </c>
      <c r="O213" s="313" t="s">
        <v>4555</v>
      </c>
      <c r="P213" s="320"/>
      <c r="Q213" s="324" t="s">
        <v>3735</v>
      </c>
      <c r="R213" s="317"/>
      <c r="S213" s="317"/>
      <c r="T213" s="317"/>
      <c r="U213" s="468">
        <f>'Punten per wedstrijd'!I167*1.2</f>
        <v>1202.8799999999994</v>
      </c>
      <c r="V213" s="468">
        <f>'Punten per wedstrijd'!I126</f>
        <v>100.39999999999782</v>
      </c>
      <c r="W213" s="313" t="s">
        <v>4555</v>
      </c>
    </row>
    <row r="214" spans="1:24" ht="15.75">
      <c r="A214" s="324" t="s">
        <v>3727</v>
      </c>
      <c r="B214" s="320"/>
      <c r="C214" s="320"/>
      <c r="D214" s="316"/>
      <c r="E214" s="468">
        <f>'Punten per wedstrijd'!H173*1.2</f>
        <v>1130.5200000000009</v>
      </c>
      <c r="F214" s="468">
        <f>'Punten per wedstrijd'!H162</f>
        <v>452.70000000000073</v>
      </c>
      <c r="G214" s="313" t="s">
        <v>4555</v>
      </c>
      <c r="H214" s="316"/>
      <c r="I214" s="324" t="s">
        <v>3732</v>
      </c>
      <c r="J214" s="316"/>
      <c r="K214" s="317"/>
      <c r="L214" s="318"/>
      <c r="M214" s="468">
        <f>'Punten per wedstrijd'!H101*1.2</f>
        <v>501.96000000000129</v>
      </c>
      <c r="N214" s="468">
        <f>'Punten per wedstrijd'!H63</f>
        <v>481.19999999999982</v>
      </c>
      <c r="O214" s="313" t="s">
        <v>4557</v>
      </c>
      <c r="P214" s="317"/>
      <c r="Q214" s="324" t="s">
        <v>3736</v>
      </c>
      <c r="R214" s="317"/>
      <c r="S214" s="317"/>
      <c r="T214" s="317"/>
      <c r="U214" s="468">
        <f>'Punten per wedstrijd'!I173*1.2</f>
        <v>1541.6399999999987</v>
      </c>
      <c r="V214" s="468">
        <f>'Punten per wedstrijd'!I157</f>
        <v>645.70000000000346</v>
      </c>
      <c r="W214" s="313" t="s">
        <v>4555</v>
      </c>
      <c r="X214" s="28"/>
    </row>
    <row r="215" spans="1:24" ht="15.75">
      <c r="A215" s="322"/>
      <c r="B215" s="320"/>
      <c r="C215" s="320"/>
      <c r="D215" s="316"/>
      <c r="E215" s="468"/>
      <c r="F215" s="468"/>
      <c r="G215" s="311"/>
      <c r="H215" s="316"/>
      <c r="I215" s="315"/>
      <c r="J215" s="316"/>
      <c r="K215" s="317"/>
      <c r="L215" s="318"/>
      <c r="M215" s="500"/>
      <c r="N215" s="500"/>
      <c r="O215" s="314"/>
      <c r="P215" s="317"/>
      <c r="Q215" s="315"/>
      <c r="R215" s="317"/>
      <c r="S215" s="317"/>
      <c r="T215" s="317"/>
      <c r="U215" s="500"/>
      <c r="V215" s="500"/>
      <c r="W215" s="314"/>
      <c r="X215" s="28"/>
    </row>
    <row r="216" spans="1:24" s="39" customFormat="1" ht="15.75">
      <c r="A216" s="319" t="s">
        <v>2212</v>
      </c>
      <c r="B216" s="444"/>
      <c r="C216" s="444"/>
      <c r="D216" s="445"/>
      <c r="E216" s="468"/>
      <c r="F216" s="468"/>
      <c r="G216" s="447" t="s">
        <v>150</v>
      </c>
      <c r="H216" s="444"/>
      <c r="I216" s="319" t="s">
        <v>3536</v>
      </c>
      <c r="J216" s="445"/>
      <c r="K216" s="444"/>
      <c r="L216" s="318"/>
      <c r="M216" s="500"/>
      <c r="N216" s="500"/>
      <c r="O216" s="447" t="s">
        <v>150</v>
      </c>
      <c r="P216" s="444"/>
      <c r="Q216" s="319" t="s">
        <v>3537</v>
      </c>
      <c r="R216" s="444"/>
      <c r="S216" s="444"/>
      <c r="T216" s="444"/>
      <c r="U216" s="500"/>
      <c r="V216" s="500"/>
      <c r="W216" s="447" t="s">
        <v>150</v>
      </c>
    </row>
    <row r="217" spans="1:24" ht="15.75">
      <c r="A217" s="324" t="s">
        <v>4201</v>
      </c>
      <c r="B217" s="320"/>
      <c r="C217" s="320"/>
      <c r="D217" s="316"/>
      <c r="E217" s="468">
        <f>'Punten per wedstrijd'!I63*1.2</f>
        <v>462.59999999999997</v>
      </c>
      <c r="F217" s="468">
        <f>'Punten per wedstrijd'!I14</f>
        <v>453.5</v>
      </c>
      <c r="G217" s="313" t="s">
        <v>4557</v>
      </c>
      <c r="H217" s="320"/>
      <c r="I217" s="324" t="s">
        <v>4202</v>
      </c>
      <c r="J217" s="316"/>
      <c r="K217" s="317"/>
      <c r="L217" s="318"/>
      <c r="M217" s="468">
        <f>'Punten per wedstrijd'!J14*1.2</f>
        <v>479.4</v>
      </c>
      <c r="N217" s="468">
        <f>'Punten per wedstrijd'!J47</f>
        <v>600.5</v>
      </c>
      <c r="O217" s="313" t="s">
        <v>4556</v>
      </c>
      <c r="P217" s="320"/>
      <c r="Q217" s="324" t="s">
        <v>4203</v>
      </c>
      <c r="R217" s="317"/>
      <c r="S217" s="317"/>
      <c r="T217" s="317"/>
      <c r="U217" s="468">
        <f>'Punten per wedstrijd'!K69*1.2</f>
        <v>336.96</v>
      </c>
      <c r="V217" s="468">
        <f>'Punten per wedstrijd'!K14</f>
        <v>274.2</v>
      </c>
      <c r="W217" s="313" t="s">
        <v>4557</v>
      </c>
      <c r="X217" s="28"/>
    </row>
    <row r="218" spans="1:24" ht="15.75">
      <c r="A218" s="324" t="s">
        <v>4204</v>
      </c>
      <c r="B218" s="320"/>
      <c r="C218" s="320"/>
      <c r="D218" s="316"/>
      <c r="E218" s="468">
        <f>'Punten per wedstrijd'!I47*1.2</f>
        <v>456.72</v>
      </c>
      <c r="F218" s="468">
        <f>'Punten per wedstrijd'!I22</f>
        <v>31.200000000000003</v>
      </c>
      <c r="G218" s="313" t="s">
        <v>4555</v>
      </c>
      <c r="H218" s="320"/>
      <c r="I218" s="324" t="s">
        <v>4205</v>
      </c>
      <c r="J218" s="316"/>
      <c r="K218" s="317"/>
      <c r="L218" s="318"/>
      <c r="M218" s="468">
        <f>'Punten per wedstrijd'!J101*1.2</f>
        <v>602.52</v>
      </c>
      <c r="N218" s="468">
        <f>'Punten per wedstrijd'!J57</f>
        <v>428</v>
      </c>
      <c r="O218" s="313" t="s">
        <v>4555</v>
      </c>
      <c r="P218" s="320"/>
      <c r="Q218" s="324" t="s">
        <v>4206</v>
      </c>
      <c r="R218" s="317"/>
      <c r="S218" s="317"/>
      <c r="T218" s="317"/>
      <c r="U218" s="468">
        <f>'Punten per wedstrijd'!K57*1.2</f>
        <v>248.39999999999998</v>
      </c>
      <c r="V218" s="468">
        <f>'Punten per wedstrijd'!K22</f>
        <v>272.2</v>
      </c>
      <c r="W218" s="313" t="s">
        <v>4554</v>
      </c>
      <c r="X218" s="28"/>
    </row>
    <row r="219" spans="1:24" ht="15.75">
      <c r="A219" s="324" t="s">
        <v>4207</v>
      </c>
      <c r="B219" s="320"/>
      <c r="C219" s="320"/>
      <c r="D219" s="316"/>
      <c r="E219" s="468">
        <f>'Punten per wedstrijd'!I58*1.2</f>
        <v>628.32000000000005</v>
      </c>
      <c r="F219" s="468">
        <f>'Punten per wedstrijd'!I51</f>
        <v>221.5</v>
      </c>
      <c r="G219" s="313" t="s">
        <v>4555</v>
      </c>
      <c r="I219" s="324" t="s">
        <v>4208</v>
      </c>
      <c r="J219" s="316"/>
      <c r="K219" s="317"/>
      <c r="L219" s="318"/>
      <c r="M219" s="468">
        <f>'Punten per wedstrijd'!J53*1.2</f>
        <v>615.12</v>
      </c>
      <c r="N219" s="468">
        <f>'Punten per wedstrijd'!J58</f>
        <v>483.2</v>
      </c>
      <c r="O219" s="313" t="s">
        <v>4555</v>
      </c>
      <c r="P219" s="320"/>
      <c r="Q219" s="324" t="s">
        <v>4209</v>
      </c>
      <c r="R219" s="317"/>
      <c r="S219" s="317"/>
      <c r="T219" s="317"/>
      <c r="U219" s="468">
        <f>'Punten per wedstrijd'!K47*1.2</f>
        <v>365.87999999999994</v>
      </c>
      <c r="V219" s="468">
        <f>'Punten per wedstrijd'!K51</f>
        <v>222.7</v>
      </c>
      <c r="W219" s="313" t="s">
        <v>4555</v>
      </c>
      <c r="X219" s="28"/>
    </row>
    <row r="220" spans="1:24" ht="15.75">
      <c r="A220" s="324" t="s">
        <v>4210</v>
      </c>
      <c r="B220" s="320"/>
      <c r="C220" s="320"/>
      <c r="D220" s="316"/>
      <c r="E220" s="468">
        <f>'Punten per wedstrijd'!I57*1.2</f>
        <v>182.4</v>
      </c>
      <c r="F220" s="468">
        <f>'Punten per wedstrijd'!I53</f>
        <v>91</v>
      </c>
      <c r="G220" s="313" t="s">
        <v>4555</v>
      </c>
      <c r="H220" s="320"/>
      <c r="I220" s="324" t="s">
        <v>4211</v>
      </c>
      <c r="J220" s="316"/>
      <c r="K220" s="317"/>
      <c r="L220" s="318"/>
      <c r="M220" s="468">
        <f>'Punten per wedstrijd'!J51*1.2</f>
        <v>543</v>
      </c>
      <c r="N220" s="468">
        <f>'Punten per wedstrijd'!J63</f>
        <v>487</v>
      </c>
      <c r="O220" s="313" t="s">
        <v>4557</v>
      </c>
      <c r="P220" s="320"/>
      <c r="Q220" s="324" t="s">
        <v>4212</v>
      </c>
      <c r="R220" s="317"/>
      <c r="S220" s="317"/>
      <c r="T220" s="317"/>
      <c r="U220" s="468">
        <f>'Punten per wedstrijd'!K58*1.2</f>
        <v>350.87999999999994</v>
      </c>
      <c r="V220" s="468">
        <f>'Punten per wedstrijd'!K63</f>
        <v>246.6</v>
      </c>
      <c r="W220" s="313" t="s">
        <v>4555</v>
      </c>
      <c r="X220" s="28"/>
    </row>
    <row r="221" spans="1:24" ht="15.75">
      <c r="A221" s="324" t="s">
        <v>4213</v>
      </c>
      <c r="B221" s="320"/>
      <c r="C221" s="320"/>
      <c r="D221" s="316"/>
      <c r="E221" s="468">
        <f>'Punten per wedstrijd'!I69*1.2</f>
        <v>241.79999999999998</v>
      </c>
      <c r="F221" s="468">
        <f>'Punten per wedstrijd'!I101</f>
        <v>237.5</v>
      </c>
      <c r="G221" s="313" t="s">
        <v>4557</v>
      </c>
      <c r="H221" s="320"/>
      <c r="I221" s="324" t="s">
        <v>4214</v>
      </c>
      <c r="J221" s="316"/>
      <c r="K221" s="317"/>
      <c r="L221" s="318"/>
      <c r="M221" s="468">
        <f>'Punten per wedstrijd'!J22*1.2</f>
        <v>706.68</v>
      </c>
      <c r="N221" s="468">
        <f>'Punten per wedstrijd'!J69</f>
        <v>420.9</v>
      </c>
      <c r="O221" s="313" t="s">
        <v>4555</v>
      </c>
      <c r="P221" s="320"/>
      <c r="Q221" s="324" t="s">
        <v>4215</v>
      </c>
      <c r="R221" s="317"/>
      <c r="S221" s="317"/>
      <c r="T221" s="317"/>
      <c r="U221" s="468">
        <f>'Punten per wedstrijd'!K53*1.2</f>
        <v>505.79999999999995</v>
      </c>
      <c r="V221" s="468">
        <f>'Punten per wedstrijd'!K101</f>
        <v>197.3</v>
      </c>
      <c r="W221" s="313" t="s">
        <v>4555</v>
      </c>
      <c r="X221" s="28"/>
    </row>
    <row r="222" spans="1:24" ht="15.75">
      <c r="A222" s="323"/>
      <c r="B222" s="320"/>
      <c r="C222" s="320"/>
      <c r="D222" s="316"/>
      <c r="E222" s="468"/>
      <c r="F222" s="468"/>
      <c r="G222" s="313"/>
      <c r="H222" s="320"/>
      <c r="I222" s="320"/>
      <c r="J222" s="316"/>
      <c r="K222" s="317"/>
      <c r="L222" s="318"/>
      <c r="M222" s="500"/>
      <c r="N222" s="500"/>
      <c r="O222" s="314"/>
      <c r="P222" s="320"/>
      <c r="Q222" s="316"/>
      <c r="R222" s="317"/>
      <c r="S222" s="317"/>
      <c r="T222" s="317"/>
      <c r="U222" s="500"/>
      <c r="V222" s="500"/>
      <c r="W222" s="314"/>
      <c r="X222" s="28"/>
    </row>
    <row r="223" spans="1:24" s="39" customFormat="1" ht="15.75">
      <c r="A223" s="319" t="s">
        <v>191</v>
      </c>
      <c r="B223" s="444"/>
      <c r="C223" s="444"/>
      <c r="D223" s="445"/>
      <c r="E223" s="468"/>
      <c r="F223" s="468"/>
      <c r="G223" s="447" t="s">
        <v>150</v>
      </c>
      <c r="H223" s="444"/>
      <c r="I223" s="319" t="s">
        <v>192</v>
      </c>
      <c r="J223" s="445"/>
      <c r="K223" s="444"/>
      <c r="L223" s="318"/>
      <c r="M223" s="500"/>
      <c r="N223" s="500"/>
      <c r="O223" s="447" t="s">
        <v>150</v>
      </c>
      <c r="P223" s="444"/>
      <c r="Q223" s="319" t="s">
        <v>195</v>
      </c>
      <c r="R223" s="444"/>
      <c r="S223" s="444"/>
      <c r="T223" s="444"/>
      <c r="U223" s="500"/>
      <c r="V223" s="500"/>
      <c r="W223" s="447" t="s">
        <v>150</v>
      </c>
    </row>
    <row r="224" spans="1:24" ht="15.75">
      <c r="A224" s="324" t="s">
        <v>4216</v>
      </c>
      <c r="B224" s="320"/>
      <c r="C224" s="320"/>
      <c r="D224" s="316"/>
      <c r="E224" s="468">
        <f>'Punten per wedstrijd'!L63*1.2</f>
        <v>212.76000000000002</v>
      </c>
      <c r="F224" s="468">
        <f>'Punten per wedstrijd'!L47</f>
        <v>291.5</v>
      </c>
      <c r="G224" s="313" t="s">
        <v>4556</v>
      </c>
      <c r="H224" s="320"/>
      <c r="I224" s="324" t="s">
        <v>4217</v>
      </c>
      <c r="J224" s="316"/>
      <c r="K224" s="317"/>
      <c r="L224" s="318"/>
      <c r="M224" s="468">
        <f>'Punten per wedstrijd'!M53*1.2</f>
        <v>617.5200000000026</v>
      </c>
      <c r="N224" s="468">
        <f>'Punten per wedstrijd'!M14</f>
        <v>358.10000000000036</v>
      </c>
      <c r="O224" s="313" t="s">
        <v>4555</v>
      </c>
      <c r="P224" s="320"/>
      <c r="Q224" s="324" t="s">
        <v>4218</v>
      </c>
      <c r="R224" s="317"/>
      <c r="S224" s="317"/>
      <c r="T224" s="317"/>
      <c r="U224" s="468"/>
      <c r="V224" s="468"/>
      <c r="W224" s="314"/>
      <c r="X224" s="28"/>
    </row>
    <row r="225" spans="1:26" ht="15.75">
      <c r="A225" s="324" t="s">
        <v>4219</v>
      </c>
      <c r="B225" s="320"/>
      <c r="C225" s="320"/>
      <c r="D225" s="316"/>
      <c r="E225" s="468">
        <f>'Punten per wedstrijd'!L22*1.2</f>
        <v>247.2</v>
      </c>
      <c r="F225" s="468">
        <f>'Punten per wedstrijd'!L53</f>
        <v>193.8</v>
      </c>
      <c r="G225" s="313" t="s">
        <v>4555</v>
      </c>
      <c r="H225" s="320"/>
      <c r="I225" s="324" t="s">
        <v>4220</v>
      </c>
      <c r="J225" s="316"/>
      <c r="K225" s="317"/>
      <c r="L225" s="318"/>
      <c r="M225" s="468">
        <f>'Punten per wedstrijd'!M101*1.2</f>
        <v>573.24000000000308</v>
      </c>
      <c r="N225" s="468">
        <f>'Punten per wedstrijd'!M22</f>
        <v>613.79999999999836</v>
      </c>
      <c r="O225" s="313" t="s">
        <v>4554</v>
      </c>
      <c r="P225" s="320"/>
      <c r="Q225" s="324" t="s">
        <v>4221</v>
      </c>
      <c r="R225" s="317"/>
      <c r="S225" s="317"/>
      <c r="T225" s="317"/>
      <c r="U225" s="468"/>
      <c r="V225" s="468"/>
      <c r="W225" s="314"/>
      <c r="X225" s="28"/>
    </row>
    <row r="226" spans="1:26" ht="15.75">
      <c r="A226" s="324" t="s">
        <v>4222</v>
      </c>
      <c r="B226" s="320"/>
      <c r="C226" s="320"/>
      <c r="D226" s="316"/>
      <c r="E226" s="468">
        <f>'Punten per wedstrijd'!L14*1.2</f>
        <v>386.64</v>
      </c>
      <c r="F226" s="468">
        <f>'Punten per wedstrijd'!L57</f>
        <v>104.10000000000001</v>
      </c>
      <c r="G226" s="313" t="s">
        <v>4555</v>
      </c>
      <c r="H226" s="320"/>
      <c r="I226" s="324" t="s">
        <v>4223</v>
      </c>
      <c r="J226" s="316"/>
      <c r="K226" s="317"/>
      <c r="L226" s="318"/>
      <c r="M226" s="468">
        <f>'Punten per wedstrijd'!M58*1.2</f>
        <v>465.24000000000086</v>
      </c>
      <c r="N226" s="468">
        <f>'Punten per wedstrijd'!M47</f>
        <v>613.85000000000127</v>
      </c>
      <c r="O226" s="313" t="s">
        <v>4556</v>
      </c>
      <c r="P226" s="320"/>
      <c r="Q226" s="324" t="s">
        <v>4224</v>
      </c>
      <c r="R226" s="317"/>
      <c r="S226" s="317"/>
      <c r="T226" s="317"/>
      <c r="U226" s="468"/>
      <c r="V226" s="468"/>
      <c r="W226" s="314"/>
      <c r="X226" s="28"/>
    </row>
    <row r="227" spans="1:26" ht="15.75">
      <c r="A227" s="324" t="s">
        <v>4225</v>
      </c>
      <c r="B227" s="320"/>
      <c r="C227" s="320"/>
      <c r="D227" s="316"/>
      <c r="E227" s="468">
        <f>'Punten per wedstrijd'!L101*1.2</f>
        <v>136.19999999999999</v>
      </c>
      <c r="F227" s="468">
        <f>'Punten per wedstrijd'!L58</f>
        <v>236.1</v>
      </c>
      <c r="G227" s="313" t="s">
        <v>4556</v>
      </c>
      <c r="H227" s="320"/>
      <c r="I227" s="324" t="s">
        <v>4226</v>
      </c>
      <c r="J227" s="316"/>
      <c r="K227" s="317"/>
      <c r="L227" s="318"/>
      <c r="M227" s="468">
        <f>'Punten per wedstrijd'!M57*1.2</f>
        <v>501.83999999999759</v>
      </c>
      <c r="N227" s="468">
        <f>'Punten per wedstrijd'!M51</f>
        <v>452.49999999999818</v>
      </c>
      <c r="O227" s="313" t="s">
        <v>4557</v>
      </c>
      <c r="P227" s="320"/>
      <c r="Q227" s="324" t="s">
        <v>4227</v>
      </c>
      <c r="R227" s="317"/>
      <c r="S227" s="317"/>
      <c r="T227" s="317"/>
      <c r="U227" s="468"/>
      <c r="V227" s="468"/>
      <c r="W227" s="314"/>
      <c r="X227" s="28"/>
    </row>
    <row r="228" spans="1:26" ht="15.75">
      <c r="A228" s="324" t="s">
        <v>4228</v>
      </c>
      <c r="B228" s="320"/>
      <c r="C228" s="320"/>
      <c r="D228" s="316"/>
      <c r="E228" s="468">
        <f>'Punten per wedstrijd'!L51*1.2</f>
        <v>139.19999999999999</v>
      </c>
      <c r="F228" s="468">
        <f>'Punten per wedstrijd'!L69</f>
        <v>157.69999999999999</v>
      </c>
      <c r="G228" s="313" t="s">
        <v>4554</v>
      </c>
      <c r="H228" s="320"/>
      <c r="I228" s="324" t="s">
        <v>4229</v>
      </c>
      <c r="J228" s="316"/>
      <c r="K228" s="317"/>
      <c r="L228" s="318"/>
      <c r="M228" s="468">
        <f>'Punten per wedstrijd'!M69*1.2</f>
        <v>587.03999999999871</v>
      </c>
      <c r="N228" s="468">
        <f>'Punten per wedstrijd'!M63</f>
        <v>518.30000000000018</v>
      </c>
      <c r="O228" s="313" t="s">
        <v>4557</v>
      </c>
      <c r="P228" s="320"/>
      <c r="Q228" s="324" t="s">
        <v>4230</v>
      </c>
      <c r="R228" s="317"/>
      <c r="S228" s="317"/>
      <c r="T228" s="317"/>
      <c r="U228" s="468"/>
      <c r="V228" s="468"/>
      <c r="W228" s="314"/>
      <c r="X228" s="28"/>
    </row>
    <row r="229" spans="1:26" ht="15.75">
      <c r="A229" s="323"/>
      <c r="B229" s="320"/>
      <c r="C229" s="320"/>
      <c r="D229" s="316"/>
      <c r="E229" s="468"/>
      <c r="F229" s="468"/>
      <c r="G229" s="311"/>
      <c r="H229" s="320"/>
      <c r="I229" s="316"/>
      <c r="J229" s="316"/>
      <c r="K229" s="317"/>
      <c r="L229" s="318"/>
      <c r="M229" s="500"/>
      <c r="N229" s="500"/>
      <c r="O229" s="314"/>
      <c r="P229" s="320"/>
      <c r="Q229" s="317"/>
      <c r="R229" s="317"/>
      <c r="S229" s="317"/>
      <c r="T229" s="317"/>
      <c r="U229" s="500"/>
      <c r="V229" s="500"/>
      <c r="W229" s="314"/>
      <c r="X229" s="28"/>
    </row>
    <row r="230" spans="1:26" s="39" customFormat="1" ht="15.75">
      <c r="A230" s="319" t="s">
        <v>193</v>
      </c>
      <c r="B230" s="444"/>
      <c r="C230" s="444"/>
      <c r="D230" s="445"/>
      <c r="E230" s="468"/>
      <c r="F230" s="468"/>
      <c r="G230" s="447" t="s">
        <v>150</v>
      </c>
      <c r="H230" s="444"/>
      <c r="I230" s="319" t="s">
        <v>194</v>
      </c>
      <c r="J230" s="445"/>
      <c r="K230" s="444"/>
      <c r="L230" s="318"/>
      <c r="M230" s="500"/>
      <c r="N230" s="500"/>
      <c r="O230" s="447" t="s">
        <v>150</v>
      </c>
      <c r="P230" s="444"/>
      <c r="Q230" s="319" t="s">
        <v>176</v>
      </c>
      <c r="R230" s="444"/>
      <c r="S230" s="444"/>
      <c r="T230" s="444"/>
      <c r="U230" s="500"/>
      <c r="V230" s="500"/>
      <c r="W230" s="447" t="s">
        <v>150</v>
      </c>
    </row>
    <row r="231" spans="1:26" ht="15.75">
      <c r="A231" s="324" t="s">
        <v>4231</v>
      </c>
      <c r="B231" s="320"/>
      <c r="C231" s="320"/>
      <c r="D231" s="316"/>
      <c r="E231" s="468"/>
      <c r="F231" s="468"/>
      <c r="G231" s="314"/>
      <c r="H231" s="320"/>
      <c r="I231" s="324" t="s">
        <v>4232</v>
      </c>
      <c r="J231" s="316"/>
      <c r="K231" s="317"/>
      <c r="L231" s="318"/>
      <c r="M231" s="468"/>
      <c r="N231" s="468"/>
      <c r="O231" s="313"/>
      <c r="P231" s="320"/>
      <c r="Q231" s="324" t="s">
        <v>4233</v>
      </c>
      <c r="R231" s="317"/>
      <c r="S231" s="317"/>
      <c r="T231" s="317"/>
      <c r="U231" s="468"/>
      <c r="V231" s="468"/>
      <c r="W231" s="313"/>
      <c r="X231" s="28"/>
    </row>
    <row r="232" spans="1:26" ht="15.75">
      <c r="A232" s="324" t="s">
        <v>4234</v>
      </c>
      <c r="B232" s="320"/>
      <c r="C232" s="320"/>
      <c r="D232" s="316"/>
      <c r="E232" s="468"/>
      <c r="F232" s="468"/>
      <c r="G232" s="314"/>
      <c r="H232" s="320"/>
      <c r="I232" s="324" t="s">
        <v>4235</v>
      </c>
      <c r="J232" s="316"/>
      <c r="K232" s="317"/>
      <c r="L232" s="318"/>
      <c r="M232" s="468"/>
      <c r="N232" s="468"/>
      <c r="O232" s="314"/>
      <c r="P232" s="320"/>
      <c r="Q232" s="324" t="s">
        <v>4236</v>
      </c>
      <c r="R232" s="317"/>
      <c r="S232" s="317"/>
      <c r="T232" s="317"/>
      <c r="U232" s="468"/>
      <c r="V232" s="468"/>
      <c r="W232" s="314"/>
      <c r="X232" s="28"/>
    </row>
    <row r="233" spans="1:26" ht="15.75">
      <c r="A233" s="324" t="s">
        <v>4237</v>
      </c>
      <c r="B233" s="320"/>
      <c r="C233" s="320"/>
      <c r="D233" s="316"/>
      <c r="E233" s="468"/>
      <c r="F233" s="468"/>
      <c r="G233" s="314"/>
      <c r="H233" s="320"/>
      <c r="I233" s="324" t="s">
        <v>4238</v>
      </c>
      <c r="J233" s="316"/>
      <c r="K233" s="317"/>
      <c r="L233" s="318"/>
      <c r="M233" s="468"/>
      <c r="N233" s="468"/>
      <c r="O233" s="314"/>
      <c r="P233" s="320"/>
      <c r="Q233" s="324" t="s">
        <v>2313</v>
      </c>
      <c r="R233" s="317"/>
      <c r="S233" s="317"/>
      <c r="T233" s="317"/>
      <c r="U233" s="468"/>
      <c r="V233" s="468"/>
      <c r="W233" s="314"/>
      <c r="X233" s="28"/>
    </row>
    <row r="234" spans="1:26" ht="15.75">
      <c r="A234" s="324" t="s">
        <v>4239</v>
      </c>
      <c r="B234" s="320"/>
      <c r="C234" s="320"/>
      <c r="D234" s="316"/>
      <c r="E234" s="468"/>
      <c r="F234" s="468"/>
      <c r="G234" s="313"/>
      <c r="H234" s="320"/>
      <c r="I234" s="324" t="s">
        <v>4240</v>
      </c>
      <c r="J234" s="316"/>
      <c r="K234" s="317"/>
      <c r="L234" s="318"/>
      <c r="M234" s="468"/>
      <c r="N234" s="468"/>
      <c r="O234" s="313"/>
      <c r="P234" s="320"/>
      <c r="Q234" s="324" t="s">
        <v>4241</v>
      </c>
      <c r="R234" s="317"/>
      <c r="S234" s="317"/>
      <c r="T234" s="317"/>
      <c r="U234" s="468"/>
      <c r="V234" s="468"/>
      <c r="W234" s="313"/>
      <c r="X234" s="28"/>
    </row>
    <row r="235" spans="1:26" ht="15.75">
      <c r="A235" s="324" t="s">
        <v>4242</v>
      </c>
      <c r="B235" s="320"/>
      <c r="C235" s="320"/>
      <c r="D235" s="316"/>
      <c r="E235" s="468"/>
      <c r="F235" s="468"/>
      <c r="G235" s="314"/>
      <c r="H235" s="316"/>
      <c r="I235" s="324" t="s">
        <v>4243</v>
      </c>
      <c r="J235" s="316"/>
      <c r="K235" s="317"/>
      <c r="L235" s="318"/>
      <c r="M235" s="468"/>
      <c r="N235" s="468"/>
      <c r="O235" s="314"/>
      <c r="P235" s="317"/>
      <c r="Q235" s="324" t="s">
        <v>4244</v>
      </c>
      <c r="R235" s="317"/>
      <c r="S235" s="317"/>
      <c r="T235" s="317"/>
      <c r="U235" s="468"/>
      <c r="V235" s="468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3463</v>
      </c>
      <c r="E238" s="435" t="s">
        <v>3464</v>
      </c>
      <c r="F238" s="435" t="s">
        <v>843</v>
      </c>
      <c r="G238" s="435" t="s">
        <v>2528</v>
      </c>
      <c r="H238" s="435" t="s">
        <v>2197</v>
      </c>
      <c r="I238" s="435" t="s">
        <v>2199</v>
      </c>
      <c r="J238" s="435" t="s">
        <v>2198</v>
      </c>
      <c r="K238" s="435" t="s">
        <v>2200</v>
      </c>
      <c r="L238" s="435" t="s">
        <v>2201</v>
      </c>
      <c r="M238" s="435" t="s">
        <v>2202</v>
      </c>
      <c r="N238" s="435" t="s">
        <v>2203</v>
      </c>
      <c r="O238" s="435" t="s">
        <v>2204</v>
      </c>
      <c r="P238" s="435" t="s">
        <v>2205</v>
      </c>
      <c r="Q238" s="435" t="s">
        <v>2206</v>
      </c>
      <c r="R238" s="435" t="s">
        <v>2207</v>
      </c>
      <c r="S238" s="435" t="s">
        <v>2184</v>
      </c>
      <c r="T238" s="435" t="s">
        <v>2208</v>
      </c>
      <c r="U238" s="435" t="s">
        <v>2209</v>
      </c>
      <c r="V238" s="202" t="s">
        <v>40</v>
      </c>
      <c r="W238" s="28"/>
      <c r="X238" s="28"/>
      <c r="Y238" s="28"/>
      <c r="Z238" s="28"/>
    </row>
    <row r="239" spans="1:26" ht="15.75">
      <c r="A239" s="63" t="s">
        <v>3588</v>
      </c>
      <c r="D239" s="50">
        <v>0</v>
      </c>
      <c r="E239" s="50">
        <v>2</v>
      </c>
      <c r="F239" s="50">
        <v>0</v>
      </c>
      <c r="G239" s="50">
        <v>3</v>
      </c>
      <c r="H239" s="50">
        <v>0</v>
      </c>
      <c r="I239" s="50">
        <v>1</v>
      </c>
      <c r="J239" s="50">
        <v>0</v>
      </c>
      <c r="K239" s="50">
        <v>3</v>
      </c>
      <c r="L239" s="50">
        <v>1</v>
      </c>
      <c r="M239" s="50">
        <v>3</v>
      </c>
      <c r="N239" s="50">
        <v>3</v>
      </c>
      <c r="O239" s="50">
        <v>3</v>
      </c>
      <c r="P239" s="50">
        <v>3</v>
      </c>
      <c r="Q239" s="50">
        <v>3</v>
      </c>
      <c r="R239" s="50"/>
      <c r="S239" s="50"/>
      <c r="T239" s="50"/>
      <c r="U239" s="50"/>
      <c r="V239" s="303">
        <f>SUM(D239:U239)</f>
        <v>25</v>
      </c>
      <c r="W239" s="503">
        <f>SUM($F$197,$M$196,$V$198,$E$203,$M$205,$V$206,$E$211,$N$212,$U$210,$E$218,$N$217,$U$219,$F$224,$N$226,$U$227,$F$232,$M$233,$V$231)</f>
        <v>7354.0200000000032</v>
      </c>
      <c r="X239" s="50" t="s">
        <v>75</v>
      </c>
      <c r="Y239" s="28"/>
      <c r="Z239" s="28"/>
    </row>
    <row r="240" spans="1:26" ht="15.75">
      <c r="A240" s="63" t="s">
        <v>3587</v>
      </c>
      <c r="D240" s="50">
        <v>3</v>
      </c>
      <c r="E240" s="50">
        <v>1</v>
      </c>
      <c r="F240" s="50">
        <v>3</v>
      </c>
      <c r="G240" s="50">
        <v>3</v>
      </c>
      <c r="H240" s="50">
        <v>2</v>
      </c>
      <c r="I240" s="50">
        <v>0</v>
      </c>
      <c r="J240" s="50">
        <v>3</v>
      </c>
      <c r="K240" s="50">
        <v>3</v>
      </c>
      <c r="L240" s="50">
        <v>1</v>
      </c>
      <c r="M240" s="50">
        <v>1</v>
      </c>
      <c r="N240" s="50">
        <v>0</v>
      </c>
      <c r="O240" s="50">
        <v>1</v>
      </c>
      <c r="P240" s="50">
        <v>3</v>
      </c>
      <c r="Q240" s="50">
        <v>0</v>
      </c>
      <c r="R240" s="50"/>
      <c r="S240" s="50"/>
      <c r="T240" s="50"/>
      <c r="U240" s="50"/>
      <c r="V240" s="303">
        <f>SUM(D240:U240)</f>
        <v>24</v>
      </c>
      <c r="W240" s="503">
        <f>SUM($E$196,$N$196,$U$196,$F$205,$M$203,$V$207,$E$210,$M$210,$V$211,$F$217,$M$217,$V$217,$E$226,$N$224,$U$228,$F$231,$N$231,$U$232)</f>
        <v>7888.9199999999946</v>
      </c>
      <c r="X240" s="50" t="s">
        <v>78</v>
      </c>
      <c r="Y240" s="28"/>
      <c r="Z240" s="28"/>
    </row>
    <row r="241" spans="1:26" ht="15.75">
      <c r="A241" s="28" t="s">
        <v>2289</v>
      </c>
      <c r="D241" s="50">
        <v>3</v>
      </c>
      <c r="E241" s="50">
        <v>0</v>
      </c>
      <c r="F241" s="50">
        <v>3</v>
      </c>
      <c r="G241" s="50">
        <v>1</v>
      </c>
      <c r="H241" s="50">
        <v>3</v>
      </c>
      <c r="I241" s="50">
        <v>3</v>
      </c>
      <c r="J241" s="50">
        <v>2</v>
      </c>
      <c r="K241" s="50">
        <v>2</v>
      </c>
      <c r="L241" s="50">
        <v>2</v>
      </c>
      <c r="M241" s="50">
        <v>1</v>
      </c>
      <c r="N241" s="50">
        <v>3</v>
      </c>
      <c r="O241" s="50">
        <v>0</v>
      </c>
      <c r="P241" s="50">
        <v>0</v>
      </c>
      <c r="Q241" s="50">
        <v>1</v>
      </c>
      <c r="R241" s="50"/>
      <c r="S241" s="50"/>
      <c r="T241" s="50"/>
      <c r="U241" s="50"/>
      <c r="V241" s="303">
        <f>SUM(D241:U241)</f>
        <v>24</v>
      </c>
      <c r="W241" s="503">
        <f>SUM($E$200,$N$197,$U$200,$F$206,$N$204,$U$207,$F$212,$M$214,$V$210,$F$221,$M$218,$V$221,$E$227,$M$225,$V$228,$E$233,$N$235,$U$231)</f>
        <v>7307.6800000000076</v>
      </c>
      <c r="X241" s="28"/>
      <c r="Y241" s="28"/>
      <c r="Z241" s="28"/>
    </row>
    <row r="242" spans="1:26" ht="15.75">
      <c r="A242" s="412" t="s">
        <v>3499</v>
      </c>
      <c r="B242" s="327"/>
      <c r="C242" s="327"/>
      <c r="D242" s="330">
        <v>0</v>
      </c>
      <c r="E242" s="330">
        <v>3</v>
      </c>
      <c r="F242" s="330">
        <v>3</v>
      </c>
      <c r="G242" s="330">
        <v>2</v>
      </c>
      <c r="H242" s="330">
        <v>3</v>
      </c>
      <c r="I242" s="330">
        <v>2</v>
      </c>
      <c r="J242" s="330">
        <v>0</v>
      </c>
      <c r="K242" s="330">
        <v>0</v>
      </c>
      <c r="L242" s="330">
        <v>1</v>
      </c>
      <c r="M242" s="330">
        <v>3</v>
      </c>
      <c r="N242" s="330">
        <v>0</v>
      </c>
      <c r="O242" s="330">
        <v>3</v>
      </c>
      <c r="P242" s="330">
        <v>3</v>
      </c>
      <c r="Q242" s="330">
        <v>0</v>
      </c>
      <c r="R242" s="330"/>
      <c r="S242" s="330"/>
      <c r="T242" s="330"/>
      <c r="U242" s="330"/>
      <c r="V242" s="329">
        <f>SUM(D242:U242)</f>
        <v>23</v>
      </c>
      <c r="W242" s="504">
        <f>SUM($F$198,$M$198,$V$199,$E$206,$N$205,$U$205,$F$214,$N$210,$U$212,$E$219,$N$219,$U$220,$F$227,$M$226,$V$226,$E$235,$M$231,$V$233)</f>
        <v>7087.1800000000021</v>
      </c>
      <c r="X242" s="330" t="s">
        <v>77</v>
      </c>
      <c r="Y242" s="28"/>
      <c r="Z242" s="28"/>
    </row>
    <row r="243" spans="1:26" ht="15.75">
      <c r="A243" s="524" t="s">
        <v>2246</v>
      </c>
      <c r="B243" s="531"/>
      <c r="C243" s="531"/>
      <c r="D243" s="532">
        <v>3</v>
      </c>
      <c r="E243" s="532">
        <v>0</v>
      </c>
      <c r="F243" s="532">
        <v>3</v>
      </c>
      <c r="G243" s="532">
        <v>1</v>
      </c>
      <c r="H243" s="532">
        <v>3</v>
      </c>
      <c r="I243" s="532">
        <v>3</v>
      </c>
      <c r="J243" s="532">
        <v>1</v>
      </c>
      <c r="K243" s="532">
        <v>1</v>
      </c>
      <c r="L243" s="532">
        <v>2</v>
      </c>
      <c r="M243" s="532">
        <v>0</v>
      </c>
      <c r="N243" s="532">
        <v>2</v>
      </c>
      <c r="O243" s="532">
        <v>0</v>
      </c>
      <c r="P243" s="532">
        <v>1</v>
      </c>
      <c r="Q243" s="532">
        <v>1</v>
      </c>
      <c r="R243" s="532"/>
      <c r="S243" s="532"/>
      <c r="T243" s="532"/>
      <c r="U243" s="532"/>
      <c r="V243" s="533">
        <f>SUM(D243:U243)</f>
        <v>21</v>
      </c>
      <c r="W243" s="534">
        <f>SUM($E$198,$N$199,$U$198,$F$207,$M$206,$V$203,$E$212,$N$211,$U$211,$F$219,$M$220,$V$219,$E$228,$N$227,$U$224,$F$233,$M$232,$V$232)</f>
        <v>7254.0399999999936</v>
      </c>
      <c r="X243" s="28"/>
      <c r="Y243" s="28"/>
      <c r="Z243" s="28"/>
    </row>
    <row r="244" spans="1:26" ht="15.75">
      <c r="A244" s="28" t="s">
        <v>2254</v>
      </c>
      <c r="D244" s="50">
        <v>0</v>
      </c>
      <c r="E244" s="50">
        <v>3</v>
      </c>
      <c r="F244" s="50">
        <v>0</v>
      </c>
      <c r="G244" s="50">
        <v>0</v>
      </c>
      <c r="H244" s="50">
        <v>3</v>
      </c>
      <c r="I244" s="50">
        <v>3</v>
      </c>
      <c r="J244" s="50">
        <v>3</v>
      </c>
      <c r="K244" s="50">
        <v>1</v>
      </c>
      <c r="L244" s="50">
        <v>3</v>
      </c>
      <c r="M244" s="50">
        <v>2</v>
      </c>
      <c r="N244" s="50">
        <v>1</v>
      </c>
      <c r="O244" s="50">
        <v>0</v>
      </c>
      <c r="P244" s="50">
        <v>0</v>
      </c>
      <c r="Q244" s="50">
        <v>1</v>
      </c>
      <c r="R244" s="50"/>
      <c r="S244" s="50"/>
      <c r="T244" s="50"/>
      <c r="U244" s="50"/>
      <c r="V244" s="303">
        <f>SUM(D244:U244)</f>
        <v>20</v>
      </c>
      <c r="W244" s="503">
        <f>SUM($F$196,$M$199,$U$199,$F$203,$M$207,$V$204,$E$213,$N$214,$U$213,$E$217,$N$220,$V$220,$E$224,$N$228,$U$225,$F$234,$M$235,$V$234)</f>
        <v>6869.9</v>
      </c>
      <c r="X244" s="28"/>
      <c r="Y244" s="28"/>
      <c r="Z244" s="28"/>
    </row>
    <row r="245" spans="1:26" ht="15.75">
      <c r="A245" s="281" t="s">
        <v>2310</v>
      </c>
      <c r="D245" s="50">
        <v>1</v>
      </c>
      <c r="E245" s="50">
        <v>3</v>
      </c>
      <c r="F245" s="50">
        <v>2</v>
      </c>
      <c r="G245" s="50">
        <v>0</v>
      </c>
      <c r="H245" s="50">
        <v>0</v>
      </c>
      <c r="I245" s="50">
        <v>0</v>
      </c>
      <c r="J245" s="50">
        <v>3</v>
      </c>
      <c r="K245" s="50">
        <v>3</v>
      </c>
      <c r="L245" s="50">
        <v>2</v>
      </c>
      <c r="M245" s="50">
        <v>3</v>
      </c>
      <c r="N245" s="50">
        <v>0</v>
      </c>
      <c r="O245" s="50">
        <v>1</v>
      </c>
      <c r="P245" s="50">
        <v>0</v>
      </c>
      <c r="Q245" s="50">
        <v>2</v>
      </c>
      <c r="R245" s="50"/>
      <c r="S245" s="50"/>
      <c r="T245" s="50"/>
      <c r="U245" s="50"/>
      <c r="V245" s="303">
        <f>SUM(D245:U245)</f>
        <v>20</v>
      </c>
      <c r="W245" s="503">
        <f>SUM($F$199,$M$197,$V$197,$E$205,$N$206,$U$204,$F$211,$M$213,$V$212,$E$220,$N$218,$U$218,$F$226,$M$227,$V$225,$E$232,$N$234,$U$233)</f>
        <v>5823.72</v>
      </c>
      <c r="X245" s="50" t="s">
        <v>76</v>
      </c>
      <c r="Y245" s="28"/>
      <c r="Z245" s="28"/>
    </row>
    <row r="246" spans="1:26" ht="15.75">
      <c r="A246" s="278" t="s">
        <v>2296</v>
      </c>
      <c r="D246" s="50">
        <v>3</v>
      </c>
      <c r="E246" s="50">
        <v>3</v>
      </c>
      <c r="F246" s="50">
        <v>1</v>
      </c>
      <c r="G246" s="50">
        <v>0</v>
      </c>
      <c r="H246" s="50">
        <v>0</v>
      </c>
      <c r="I246" s="50">
        <v>1</v>
      </c>
      <c r="J246" s="50">
        <v>0</v>
      </c>
      <c r="K246" s="50">
        <v>2</v>
      </c>
      <c r="L246" s="50">
        <v>0</v>
      </c>
      <c r="M246" s="50">
        <v>0</v>
      </c>
      <c r="N246" s="50">
        <v>3</v>
      </c>
      <c r="O246" s="50">
        <v>2</v>
      </c>
      <c r="P246" s="50">
        <v>3</v>
      </c>
      <c r="Q246" s="50">
        <v>2</v>
      </c>
      <c r="R246" s="50"/>
      <c r="S246" s="50"/>
      <c r="T246" s="50"/>
      <c r="U246" s="50"/>
      <c r="V246" s="303">
        <f>SUM(D246:U246)</f>
        <v>20</v>
      </c>
      <c r="W246" s="503">
        <f>SUM($E$197,$N$200,$U$197,$F$204,$M$204,$V$205,$F$210,$M$211,$V$213,$F$218,$M$221,$V$218,$E$225,$N$225,$U$226,$E$231,$N$232,$U$234)</f>
        <v>5658.2799999999916</v>
      </c>
      <c r="X246" s="28"/>
      <c r="Y246" s="28"/>
      <c r="Z246" s="28"/>
    </row>
    <row r="247" spans="1:26" ht="15.75">
      <c r="A247" s="28" t="s">
        <v>2260</v>
      </c>
      <c r="D247" s="50">
        <v>0</v>
      </c>
      <c r="E247" s="50">
        <v>0</v>
      </c>
      <c r="F247" s="50">
        <v>0</v>
      </c>
      <c r="G247" s="50">
        <v>2</v>
      </c>
      <c r="H247" s="50">
        <v>0</v>
      </c>
      <c r="I247" s="50">
        <v>2</v>
      </c>
      <c r="J247" s="50">
        <v>3</v>
      </c>
      <c r="K247" s="50">
        <v>0</v>
      </c>
      <c r="L247" s="50">
        <v>3</v>
      </c>
      <c r="M247" s="50">
        <v>2</v>
      </c>
      <c r="N247" s="50">
        <v>0</v>
      </c>
      <c r="O247" s="50">
        <v>2</v>
      </c>
      <c r="P247" s="50">
        <v>2</v>
      </c>
      <c r="Q247" s="50">
        <v>2</v>
      </c>
      <c r="R247" s="50"/>
      <c r="S247" s="50"/>
      <c r="T247" s="50"/>
      <c r="U247" s="50"/>
      <c r="V247" s="303">
        <f>SUM(D247:U247)</f>
        <v>18</v>
      </c>
      <c r="W247" s="503">
        <f>SUM($F$200,$M$200,$V$196,$E$207,$N$207,$U$206,$E$214,$N$213,$U$214,$E$221,$N$221,$U$217,$F$228,$M$228,$V$227,$F$235,$M$234,$V$235)</f>
        <v>7142.5999999999995</v>
      </c>
      <c r="X247" s="28"/>
      <c r="Y247" s="28"/>
      <c r="Z247" s="28"/>
    </row>
    <row r="248" spans="1:26" ht="15.75">
      <c r="A248" s="63" t="s">
        <v>3600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/>
      <c r="S248" s="50"/>
      <c r="T248" s="50"/>
      <c r="U248" s="50"/>
      <c r="V248" s="303">
        <f>SUM(D248:U248)</f>
        <v>15</v>
      </c>
      <c r="W248" s="503">
        <f>SUM($E$199,$N$198,$V$200,$E$204,$N$203,$U$203,$F$213,$M$212,$V$214,$F$220,$M$219,$U$221,$F$225,$M$224,$V$224,$E$234,$N$233,$U$235)</f>
        <v>6356.0000000000064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9">
        <f>SUM(W239:W248)</f>
        <v>68742.34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9"/>
      <c r="X251" s="28"/>
      <c r="Y251" s="28"/>
      <c r="Z251" s="28"/>
    </row>
    <row r="252" spans="1:26" ht="1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2165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4"/>
      <c r="C255" s="444"/>
      <c r="D255" s="445"/>
      <c r="E255" s="445"/>
      <c r="F255" s="445"/>
      <c r="G255" s="318" t="s">
        <v>150</v>
      </c>
      <c r="H255" s="444"/>
      <c r="I255" s="319" t="s">
        <v>184</v>
      </c>
      <c r="J255" s="445"/>
      <c r="K255" s="444"/>
      <c r="L255" s="318"/>
      <c r="M255" s="500"/>
      <c r="N255" s="500"/>
      <c r="O255" s="318" t="s">
        <v>150</v>
      </c>
      <c r="P255" s="444"/>
      <c r="Q255" s="319" t="s">
        <v>843</v>
      </c>
      <c r="R255" s="444"/>
      <c r="S255" s="444"/>
      <c r="T255" s="444"/>
      <c r="U255" s="444"/>
      <c r="V255" s="444"/>
      <c r="W255" s="318" t="s">
        <v>150</v>
      </c>
    </row>
    <row r="256" spans="1:26" ht="15.75">
      <c r="A256" s="324" t="s">
        <v>3627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4554</v>
      </c>
      <c r="H256" s="320"/>
      <c r="I256" s="324" t="s">
        <v>3737</v>
      </c>
      <c r="J256" s="316"/>
      <c r="K256" s="317"/>
      <c r="L256" s="318"/>
      <c r="M256" s="468">
        <f>'Punten per wedstrijd'!E23*1.2</f>
        <v>359.76000000000005</v>
      </c>
      <c r="N256" s="468">
        <f>'Punten per wedstrijd'!E92</f>
        <v>84.699999999999932</v>
      </c>
      <c r="O256" s="313" t="s">
        <v>4555</v>
      </c>
      <c r="P256" s="320"/>
      <c r="Q256" s="324" t="s">
        <v>3742</v>
      </c>
      <c r="R256" s="317"/>
      <c r="S256" s="317"/>
      <c r="T256" s="317"/>
      <c r="U256" s="468">
        <f>'Punten per wedstrijd'!F112*1.2</f>
        <v>254.88000000000036</v>
      </c>
      <c r="V256" s="468">
        <f>'Punten per wedstrijd'!F196</f>
        <v>549.30000000000064</v>
      </c>
      <c r="W256" s="313" t="s">
        <v>4556</v>
      </c>
    </row>
    <row r="257" spans="1:23" ht="15.75">
      <c r="A257" s="324" t="s">
        <v>3628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4556</v>
      </c>
      <c r="H257" s="320"/>
      <c r="I257" s="324" t="s">
        <v>3738</v>
      </c>
      <c r="J257" s="316"/>
      <c r="K257" s="317"/>
      <c r="L257" s="318"/>
      <c r="M257" s="468">
        <f>'Punten per wedstrijd'!E60*1.2</f>
        <v>0</v>
      </c>
      <c r="N257" s="468">
        <f>'Punten per wedstrijd'!E104</f>
        <v>224.50000000000006</v>
      </c>
      <c r="O257" s="313" t="s">
        <v>4556</v>
      </c>
      <c r="P257" s="320"/>
      <c r="Q257" s="324" t="s">
        <v>3743</v>
      </c>
      <c r="R257" s="317"/>
      <c r="S257" s="317"/>
      <c r="T257" s="317"/>
      <c r="U257" s="468">
        <f>'Punten per wedstrijd'!F121*1.2</f>
        <v>425.2799999999998</v>
      </c>
      <c r="V257" s="468">
        <f>'Punten per wedstrijd'!F164</f>
        <v>436.49999999999955</v>
      </c>
      <c r="W257" s="313" t="s">
        <v>4554</v>
      </c>
    </row>
    <row r="258" spans="1:23" ht="15.75">
      <c r="A258" s="324" t="s">
        <v>3629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4556</v>
      </c>
      <c r="H258" s="320"/>
      <c r="I258" s="324" t="s">
        <v>3739</v>
      </c>
      <c r="J258" s="316"/>
      <c r="K258" s="317"/>
      <c r="L258" s="318"/>
      <c r="M258" s="468">
        <f>'Punten per wedstrijd'!E64*1.2</f>
        <v>240.12</v>
      </c>
      <c r="N258" s="468">
        <f>'Punten per wedstrijd'!E52</f>
        <v>175.09999999999991</v>
      </c>
      <c r="O258" s="313" t="s">
        <v>4555</v>
      </c>
      <c r="P258" s="320"/>
      <c r="Q258" s="324" t="s">
        <v>3744</v>
      </c>
      <c r="R258" s="317"/>
      <c r="S258" s="317"/>
      <c r="T258" s="317"/>
      <c r="U258" s="468">
        <f>'Punten per wedstrijd'!F146*1.2</f>
        <v>872.99999999999886</v>
      </c>
      <c r="V258" s="468">
        <f>'Punten per wedstrijd'!F127</f>
        <v>541.49999999999932</v>
      </c>
      <c r="W258" s="313" t="s">
        <v>4555</v>
      </c>
    </row>
    <row r="259" spans="1:23" ht="15.75">
      <c r="A259" s="324" t="s">
        <v>3630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4555</v>
      </c>
      <c r="H259" s="320"/>
      <c r="I259" s="324" t="s">
        <v>3740</v>
      </c>
      <c r="J259" s="316"/>
      <c r="K259" s="317"/>
      <c r="L259" s="318"/>
      <c r="M259" s="468">
        <f>'Punten per wedstrijd'!E83*1.2</f>
        <v>617.87999999999977</v>
      </c>
      <c r="N259" s="468">
        <f>'Punten per wedstrijd'!E42</f>
        <v>293.69999999999993</v>
      </c>
      <c r="O259" s="313" t="s">
        <v>4555</v>
      </c>
      <c r="P259" s="320"/>
      <c r="Q259" s="324" t="s">
        <v>3745</v>
      </c>
      <c r="R259" s="317"/>
      <c r="S259" s="317"/>
      <c r="T259" s="317"/>
      <c r="U259" s="468">
        <f>'Punten per wedstrijd'!F187*1.2</f>
        <v>497.88000000000062</v>
      </c>
      <c r="V259" s="468">
        <f>'Punten per wedstrijd'!F168</f>
        <v>566.69999999999982</v>
      </c>
      <c r="W259" s="313" t="s">
        <v>4554</v>
      </c>
    </row>
    <row r="260" spans="1:23" ht="15.75">
      <c r="A260" s="324" t="s">
        <v>3631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4555</v>
      </c>
      <c r="H260" s="320"/>
      <c r="I260" s="324" t="s">
        <v>3741</v>
      </c>
      <c r="J260" s="316"/>
      <c r="K260" s="317"/>
      <c r="L260" s="318"/>
      <c r="M260" s="468">
        <f>'Punten per wedstrijd'!E92*1.2</f>
        <v>101.63999999999992</v>
      </c>
      <c r="N260" s="468">
        <f>'Punten per wedstrijd'!E17</f>
        <v>66</v>
      </c>
      <c r="O260" s="313" t="s">
        <v>4555</v>
      </c>
      <c r="P260" s="320"/>
      <c r="Q260" s="324" t="s">
        <v>3746</v>
      </c>
      <c r="R260" s="317"/>
      <c r="S260" s="317"/>
      <c r="T260" s="317"/>
      <c r="U260" s="468">
        <f>'Punten per wedstrijd'!F208*1.2</f>
        <v>611.99999999999943</v>
      </c>
      <c r="V260" s="468">
        <f>'Punten per wedstrijd'!F156</f>
        <v>433.59999999999945</v>
      </c>
      <c r="W260" s="313" t="s">
        <v>4555</v>
      </c>
    </row>
    <row r="261" spans="1:23" ht="15.75">
      <c r="A261" s="323"/>
      <c r="B261" s="320"/>
      <c r="C261" s="320"/>
      <c r="D261" s="316"/>
      <c r="E261" s="468"/>
      <c r="F261" s="468"/>
      <c r="G261" s="313"/>
      <c r="H261" s="320"/>
      <c r="I261" s="320"/>
      <c r="J261" s="316"/>
      <c r="K261" s="317"/>
      <c r="L261" s="318"/>
      <c r="M261" s="500"/>
      <c r="N261" s="500"/>
      <c r="O261" s="314"/>
      <c r="P261" s="320"/>
      <c r="Q261" s="316"/>
      <c r="R261" s="317"/>
      <c r="S261" s="317"/>
      <c r="T261" s="317"/>
      <c r="U261" s="500"/>
      <c r="V261" s="500"/>
      <c r="W261" s="314"/>
    </row>
    <row r="262" spans="1:23" s="39" customFormat="1" ht="15.75">
      <c r="A262" s="319" t="s">
        <v>2210</v>
      </c>
      <c r="B262" s="444"/>
      <c r="C262" s="444"/>
      <c r="D262" s="445"/>
      <c r="E262" s="468"/>
      <c r="F262" s="468"/>
      <c r="G262" s="447" t="s">
        <v>150</v>
      </c>
      <c r="H262" s="444"/>
      <c r="I262" s="319" t="s">
        <v>186</v>
      </c>
      <c r="J262" s="445"/>
      <c r="K262" s="444"/>
      <c r="L262" s="318"/>
      <c r="M262" s="500"/>
      <c r="N262" s="500"/>
      <c r="O262" s="447" t="s">
        <v>150</v>
      </c>
      <c r="P262" s="444"/>
      <c r="Q262" s="319" t="s">
        <v>175</v>
      </c>
      <c r="R262" s="444"/>
      <c r="S262" s="444"/>
      <c r="T262" s="444"/>
      <c r="U262" s="500"/>
      <c r="V262" s="500"/>
      <c r="W262" s="447" t="s">
        <v>150</v>
      </c>
    </row>
    <row r="263" spans="1:23" ht="15.75">
      <c r="A263" s="324" t="s">
        <v>3747</v>
      </c>
      <c r="B263" s="320"/>
      <c r="C263" s="320"/>
      <c r="D263" s="316"/>
      <c r="E263" s="468">
        <f>'Punten per wedstrijd'!F23*1.2</f>
        <v>342.59999999999974</v>
      </c>
      <c r="F263" s="468">
        <f>'Punten per wedstrijd'!F83</f>
        <v>97.5</v>
      </c>
      <c r="G263" s="313" t="s">
        <v>4555</v>
      </c>
      <c r="H263" s="320"/>
      <c r="I263" s="324" t="s">
        <v>2231</v>
      </c>
      <c r="J263" s="316"/>
      <c r="K263" s="317"/>
      <c r="L263" s="318"/>
      <c r="M263" s="468">
        <f>'Punten per wedstrijd'!G8*1.2</f>
        <v>287.75999999999965</v>
      </c>
      <c r="N263" s="468">
        <f>'Punten per wedstrijd'!G52</f>
        <v>206.99999999999955</v>
      </c>
      <c r="O263" s="313" t="s">
        <v>4555</v>
      </c>
      <c r="P263" s="320"/>
      <c r="Q263" s="324" t="s">
        <v>3755</v>
      </c>
      <c r="R263" s="317"/>
      <c r="S263" s="317"/>
      <c r="T263" s="317"/>
      <c r="U263" s="468">
        <f>'Punten per wedstrijd'!G156*1.2</f>
        <v>1208.8800000000001</v>
      </c>
      <c r="V263" s="468">
        <f>'Punten per wedstrijd'!G146</f>
        <v>751</v>
      </c>
      <c r="W263" s="313" t="s">
        <v>4555</v>
      </c>
    </row>
    <row r="264" spans="1:23" ht="15.75">
      <c r="A264" s="324" t="s">
        <v>2232</v>
      </c>
      <c r="B264" s="320"/>
      <c r="C264" s="320"/>
      <c r="D264" s="316"/>
      <c r="E264" s="468">
        <f>'Punten per wedstrijd'!F52*1.2</f>
        <v>146.27999999999901</v>
      </c>
      <c r="F264" s="468">
        <f>'Punten per wedstrijd'!F17</f>
        <v>243.7999999999995</v>
      </c>
      <c r="G264" s="313" t="s">
        <v>4556</v>
      </c>
      <c r="H264" s="320"/>
      <c r="I264" s="324" t="s">
        <v>3751</v>
      </c>
      <c r="J264" s="316"/>
      <c r="K264" s="317"/>
      <c r="L264" s="318"/>
      <c r="M264" s="468">
        <f>'Punten per wedstrijd'!G17*1.2</f>
        <v>501.59999999999968</v>
      </c>
      <c r="N264" s="468">
        <f>'Punten per wedstrijd'!G104</f>
        <v>353.59999999999991</v>
      </c>
      <c r="O264" s="313" t="s">
        <v>4555</v>
      </c>
      <c r="P264" s="320"/>
      <c r="Q264" s="324" t="s">
        <v>3756</v>
      </c>
      <c r="R264" s="317"/>
      <c r="S264" s="317"/>
      <c r="T264" s="317"/>
      <c r="U264" s="468">
        <f>'Punten per wedstrijd'!G164*1.2</f>
        <v>825.24000000000137</v>
      </c>
      <c r="V264" s="468">
        <f>'Punten per wedstrijd'!G187</f>
        <v>701.900000000001</v>
      </c>
      <c r="W264" s="313" t="s">
        <v>4557</v>
      </c>
    </row>
    <row r="265" spans="1:23" ht="15.75">
      <c r="A265" s="324" t="s">
        <v>3748</v>
      </c>
      <c r="B265" s="320"/>
      <c r="C265" s="320"/>
      <c r="D265" s="316"/>
      <c r="E265" s="468">
        <f>'Punten per wedstrijd'!F60*1.2</f>
        <v>586.37999999999954</v>
      </c>
      <c r="F265" s="468">
        <f>'Punten per wedstrijd'!F8</f>
        <v>205.70000000000027</v>
      </c>
      <c r="G265" s="313" t="s">
        <v>4555</v>
      </c>
      <c r="H265" s="320"/>
      <c r="I265" s="324" t="s">
        <v>3752</v>
      </c>
      <c r="J265" s="316"/>
      <c r="K265" s="317"/>
      <c r="L265" s="318"/>
      <c r="M265" s="468">
        <f>'Punten per wedstrijd'!G23*1.2</f>
        <v>380.87999999999954</v>
      </c>
      <c r="N265" s="468">
        <f>'Punten per wedstrijd'!G64</f>
        <v>234.90000000000009</v>
      </c>
      <c r="O265" s="313" t="s">
        <v>4555</v>
      </c>
      <c r="P265" s="320"/>
      <c r="Q265" s="324" t="s">
        <v>3757</v>
      </c>
      <c r="R265" s="317"/>
      <c r="S265" s="317"/>
      <c r="T265" s="317"/>
      <c r="U265" s="468">
        <f>'Punten per wedstrijd'!G168*1.2</f>
        <v>728.64000000000033</v>
      </c>
      <c r="V265" s="468">
        <f>'Punten per wedstrijd'!G121</f>
        <v>718.39999999999964</v>
      </c>
      <c r="W265" s="313" t="s">
        <v>4557</v>
      </c>
    </row>
    <row r="266" spans="1:23" ht="15.75">
      <c r="A266" s="324" t="s">
        <v>3749</v>
      </c>
      <c r="B266" s="320"/>
      <c r="C266" s="320"/>
      <c r="D266" s="316"/>
      <c r="E266" s="468">
        <f>'Punten per wedstrijd'!F64*1.2</f>
        <v>278.63999999999976</v>
      </c>
      <c r="F266" s="468">
        <f>'Punten per wedstrijd'!F104</f>
        <v>147.30000000000018</v>
      </c>
      <c r="G266" s="313" t="s">
        <v>4555</v>
      </c>
      <c r="H266" s="320"/>
      <c r="I266" s="324" t="s">
        <v>3753</v>
      </c>
      <c r="J266" s="316"/>
      <c r="K266" s="317"/>
      <c r="L266" s="318"/>
      <c r="M266" s="468">
        <f>'Punten per wedstrijd'!G42*1.2</f>
        <v>396.47999999999956</v>
      </c>
      <c r="N266" s="468">
        <f>'Punten per wedstrijd'!G60</f>
        <v>441.90000000000055</v>
      </c>
      <c r="O266" s="313" t="s">
        <v>4554</v>
      </c>
      <c r="P266" s="320"/>
      <c r="Q266" s="324" t="s">
        <v>3758</v>
      </c>
      <c r="R266" s="317"/>
      <c r="S266" s="317"/>
      <c r="T266" s="317"/>
      <c r="U266" s="468">
        <f>'Punten per wedstrijd'!G196*1.2</f>
        <v>789</v>
      </c>
      <c r="V266" s="468">
        <f>'Punten per wedstrijd'!G127</f>
        <v>567.49999999999909</v>
      </c>
      <c r="W266" s="313" t="s">
        <v>4555</v>
      </c>
    </row>
    <row r="267" spans="1:23" ht="15.75">
      <c r="A267" s="324" t="s">
        <v>3750</v>
      </c>
      <c r="B267" s="320"/>
      <c r="C267" s="320"/>
      <c r="D267" s="316"/>
      <c r="E267" s="468">
        <f>'Punten per wedstrijd'!F65*1.2</f>
        <v>696.3599999999999</v>
      </c>
      <c r="F267" s="468">
        <f>'Punten per wedstrijd'!F42</f>
        <v>217.5</v>
      </c>
      <c r="G267" s="313" t="s">
        <v>4554</v>
      </c>
      <c r="H267" s="320"/>
      <c r="I267" s="324" t="s">
        <v>3754</v>
      </c>
      <c r="J267" s="316"/>
      <c r="K267" s="317"/>
      <c r="L267" s="318"/>
      <c r="M267" s="468">
        <f>'Punten per wedstrijd'!G83*1.2</f>
        <v>42.480000000000111</v>
      </c>
      <c r="N267" s="468">
        <f>'Punten per wedstrijd'!G92</f>
        <v>217.70000000000027</v>
      </c>
      <c r="O267" s="313" t="s">
        <v>4556</v>
      </c>
      <c r="P267" s="320"/>
      <c r="Q267" s="324" t="s">
        <v>3759</v>
      </c>
      <c r="R267" s="317"/>
      <c r="S267" s="317"/>
      <c r="T267" s="317"/>
      <c r="U267" s="468">
        <f>'Punten per wedstrijd'!G208*1.2</f>
        <v>1527.8399999999997</v>
      </c>
      <c r="V267" s="468">
        <f>'Punten per wedstrijd'!G112</f>
        <v>541.29999999999905</v>
      </c>
      <c r="W267" s="313" t="s">
        <v>4555</v>
      </c>
    </row>
    <row r="268" spans="1:23" ht="15.75">
      <c r="A268" s="323"/>
      <c r="B268" s="320"/>
      <c r="C268" s="320"/>
      <c r="D268" s="316"/>
      <c r="E268" s="468"/>
      <c r="F268" s="468"/>
      <c r="G268" s="311"/>
      <c r="H268" s="320"/>
      <c r="I268" s="316"/>
      <c r="J268" s="316"/>
      <c r="K268" s="317"/>
      <c r="L268" s="318"/>
      <c r="M268" s="500"/>
      <c r="N268" s="500"/>
      <c r="O268" s="314"/>
      <c r="P268" s="320"/>
      <c r="Q268" s="317"/>
      <c r="R268" s="317"/>
      <c r="S268" s="317"/>
      <c r="T268" s="317"/>
      <c r="U268" s="500"/>
      <c r="V268" s="500"/>
      <c r="W268" s="314"/>
    </row>
    <row r="269" spans="1:23" s="39" customFormat="1" ht="15.75">
      <c r="A269" s="319" t="s">
        <v>187</v>
      </c>
      <c r="B269" s="444"/>
      <c r="C269" s="444"/>
      <c r="D269" s="445"/>
      <c r="E269" s="468"/>
      <c r="F269" s="468"/>
      <c r="G269" s="447" t="s">
        <v>150</v>
      </c>
      <c r="H269" s="444"/>
      <c r="I269" s="319" t="s">
        <v>188</v>
      </c>
      <c r="J269" s="445"/>
      <c r="K269" s="444"/>
      <c r="L269" s="318"/>
      <c r="M269" s="500"/>
      <c r="N269" s="500"/>
      <c r="O269" s="447" t="s">
        <v>150</v>
      </c>
      <c r="P269" s="444"/>
      <c r="Q269" s="319" t="s">
        <v>2211</v>
      </c>
      <c r="R269" s="444"/>
      <c r="S269" s="444"/>
      <c r="T269" s="444"/>
      <c r="U269" s="500"/>
      <c r="V269" s="500"/>
      <c r="W269" s="447" t="s">
        <v>150</v>
      </c>
    </row>
    <row r="270" spans="1:23" ht="15.75">
      <c r="A270" s="324" t="s">
        <v>2230</v>
      </c>
      <c r="B270" s="320"/>
      <c r="C270" s="320"/>
      <c r="D270" s="316"/>
      <c r="E270" s="468">
        <f>'Punten per wedstrijd'!H112*1.2</f>
        <v>548.87999999999897</v>
      </c>
      <c r="F270" s="468">
        <f>'Punten per wedstrijd'!H121</f>
        <v>596.29999999999973</v>
      </c>
      <c r="G270" s="313" t="s">
        <v>4554</v>
      </c>
      <c r="H270" s="320"/>
      <c r="I270" s="324" t="s">
        <v>3764</v>
      </c>
      <c r="J270" s="316"/>
      <c r="K270" s="317"/>
      <c r="L270" s="318"/>
      <c r="M270" s="468">
        <f>'Punten per wedstrijd'!H8*1.2</f>
        <v>258.83999999999867</v>
      </c>
      <c r="N270" s="468">
        <f>'Punten per wedstrijd'!H64</f>
        <v>653.10000000000127</v>
      </c>
      <c r="O270" s="313" t="s">
        <v>4556</v>
      </c>
      <c r="P270" s="320"/>
      <c r="Q270" s="324" t="s">
        <v>3769</v>
      </c>
      <c r="R270" s="317"/>
      <c r="S270" s="317"/>
      <c r="T270" s="317"/>
      <c r="U270" s="468">
        <f>'Punten per wedstrijd'!I127*1.2</f>
        <v>1179.2400000000009</v>
      </c>
      <c r="V270" s="468">
        <f>'Punten per wedstrijd'!I208</f>
        <v>906.60000000000218</v>
      </c>
      <c r="W270" s="313" t="s">
        <v>4555</v>
      </c>
    </row>
    <row r="271" spans="1:23" ht="15.75">
      <c r="A271" s="324" t="s">
        <v>3760</v>
      </c>
      <c r="B271" s="320"/>
      <c r="C271" s="320"/>
      <c r="D271" s="316"/>
      <c r="E271" s="468">
        <f>'Punten per wedstrijd'!H127*1.2</f>
        <v>585.8399999999998</v>
      </c>
      <c r="F271" s="468">
        <f>'Punten per wedstrijd'!H164</f>
        <v>301.30000000000109</v>
      </c>
      <c r="G271" s="313" t="s">
        <v>4555</v>
      </c>
      <c r="H271" s="320"/>
      <c r="I271" s="324" t="s">
        <v>3765</v>
      </c>
      <c r="J271" s="316"/>
      <c r="K271" s="317"/>
      <c r="L271" s="318"/>
      <c r="M271" s="468">
        <f>'Punten per wedstrijd'!H17*1.2</f>
        <v>379.8</v>
      </c>
      <c r="N271" s="468">
        <f>'Punten per wedstrijd'!H42</f>
        <v>522.49999999999909</v>
      </c>
      <c r="O271" s="313" t="s">
        <v>4556</v>
      </c>
      <c r="P271" s="320"/>
      <c r="Q271" s="324" t="s">
        <v>3770</v>
      </c>
      <c r="R271" s="317"/>
      <c r="S271" s="317"/>
      <c r="T271" s="317"/>
      <c r="U271" s="468">
        <f>'Punten per wedstrijd'!I146*1.2</f>
        <v>1145.0399999999966</v>
      </c>
      <c r="V271" s="468">
        <f>'Punten per wedstrijd'!I112</f>
        <v>344.60000000000036</v>
      </c>
      <c r="W271" s="313" t="s">
        <v>4555</v>
      </c>
    </row>
    <row r="272" spans="1:23" ht="15.75">
      <c r="A272" s="324" t="s">
        <v>3761</v>
      </c>
      <c r="B272" s="320"/>
      <c r="C272" s="320"/>
      <c r="D272" s="316"/>
      <c r="E272" s="468">
        <f>'Punten per wedstrijd'!H146*1.2</f>
        <v>1006.9199999999993</v>
      </c>
      <c r="F272" s="468">
        <f>'Punten per wedstrijd'!H208</f>
        <v>622.70000000000073</v>
      </c>
      <c r="G272" s="313" t="s">
        <v>4555</v>
      </c>
      <c r="H272" s="320"/>
      <c r="I272" s="324" t="s">
        <v>3766</v>
      </c>
      <c r="J272" s="316"/>
      <c r="K272" s="317"/>
      <c r="L272" s="318"/>
      <c r="M272" s="468">
        <f>'Punten per wedstrijd'!H52*1.2</f>
        <v>493.91999999999933</v>
      </c>
      <c r="N272" s="468">
        <f>'Punten per wedstrijd'!H23</f>
        <v>579.00000000000091</v>
      </c>
      <c r="O272" s="313" t="s">
        <v>4554</v>
      </c>
      <c r="P272" s="320"/>
      <c r="Q272" s="324" t="s">
        <v>3771</v>
      </c>
      <c r="R272" s="317"/>
      <c r="S272" s="317"/>
      <c r="T272" s="317"/>
      <c r="U272" s="468">
        <f>'Punten per wedstrijd'!I168*1.2</f>
        <v>1023.600000000001</v>
      </c>
      <c r="V272" s="468">
        <f>'Punten per wedstrijd'!I164</f>
        <v>394.30000000000109</v>
      </c>
      <c r="W272" s="313" t="s">
        <v>4555</v>
      </c>
    </row>
    <row r="273" spans="1:24" ht="15.75">
      <c r="A273" s="324" t="s">
        <v>3762</v>
      </c>
      <c r="B273" s="320"/>
      <c r="C273" s="320"/>
      <c r="D273" s="316"/>
      <c r="E273" s="468">
        <f>'Punten per wedstrijd'!H187*1.2</f>
        <v>1013.2800000000011</v>
      </c>
      <c r="F273" s="468">
        <f>'Punten per wedstrijd'!H156</f>
        <v>953.19999999999936</v>
      </c>
      <c r="G273" s="313" t="s">
        <v>4557</v>
      </c>
      <c r="H273" s="320"/>
      <c r="I273" s="324" t="s">
        <v>3767</v>
      </c>
      <c r="J273" s="316"/>
      <c r="K273" s="317"/>
      <c r="L273" s="318"/>
      <c r="M273" s="468">
        <f>'Punten per wedstrijd'!H60*1.2</f>
        <v>969.11999999999989</v>
      </c>
      <c r="N273" s="468">
        <f>'Punten per wedstrijd'!H92</f>
        <v>667.10000000000082</v>
      </c>
      <c r="O273" s="313" t="s">
        <v>4555</v>
      </c>
      <c r="P273" s="320"/>
      <c r="Q273" s="324" t="s">
        <v>3772</v>
      </c>
      <c r="R273" s="317"/>
      <c r="S273" s="317"/>
      <c r="T273" s="317"/>
      <c r="U273" s="468">
        <f>'Punten per wedstrijd'!I187*1.2</f>
        <v>1085.9999999999966</v>
      </c>
      <c r="V273" s="468">
        <f>'Punten per wedstrijd'!I121</f>
        <v>895.30000000000109</v>
      </c>
      <c r="W273" s="313" t="s">
        <v>4557</v>
      </c>
    </row>
    <row r="274" spans="1:24" ht="15.75">
      <c r="A274" s="324" t="s">
        <v>3763</v>
      </c>
      <c r="B274" s="320"/>
      <c r="C274" s="320"/>
      <c r="D274" s="316"/>
      <c r="E274" s="468">
        <f>'Punten per wedstrijd'!H196*1.2</f>
        <v>693.24000000000035</v>
      </c>
      <c r="F274" s="468">
        <f>'Punten per wedstrijd'!H168</f>
        <v>711</v>
      </c>
      <c r="G274" s="313" t="s">
        <v>4554</v>
      </c>
      <c r="H274" s="316"/>
      <c r="I274" s="324" t="s">
        <v>3768</v>
      </c>
      <c r="J274" s="316"/>
      <c r="K274" s="317"/>
      <c r="L274" s="318"/>
      <c r="M274" s="468">
        <f>'Punten per wedstrijd'!H104*1.2</f>
        <v>755.46000000000015</v>
      </c>
      <c r="N274" s="468">
        <f>'Punten per wedstrijd'!H83</f>
        <v>621.99999999999909</v>
      </c>
      <c r="O274" s="313" t="s">
        <v>4557</v>
      </c>
      <c r="P274" s="317"/>
      <c r="Q274" s="324" t="s">
        <v>3773</v>
      </c>
      <c r="R274" s="317"/>
      <c r="S274" s="317"/>
      <c r="T274" s="317"/>
      <c r="U274" s="468">
        <f>'Punten per wedstrijd'!I196*1.2</f>
        <v>1016.7600000000002</v>
      </c>
      <c r="V274" s="468">
        <f>'Punten per wedstrijd'!I156</f>
        <v>1051.3999999999996</v>
      </c>
      <c r="W274" s="313" t="s">
        <v>4554</v>
      </c>
      <c r="X274" s="28"/>
    </row>
    <row r="275" spans="1:24" ht="15.75">
      <c r="A275" s="322"/>
      <c r="B275" s="320"/>
      <c r="C275" s="320"/>
      <c r="D275" s="316"/>
      <c r="E275" s="468"/>
      <c r="F275" s="468"/>
      <c r="G275" s="311"/>
      <c r="H275" s="316"/>
      <c r="I275" s="315"/>
      <c r="J275" s="316"/>
      <c r="K275" s="317"/>
      <c r="L275" s="318"/>
      <c r="M275" s="500"/>
      <c r="N275" s="500"/>
      <c r="O275" s="314"/>
      <c r="P275" s="317"/>
      <c r="Q275" s="315"/>
      <c r="R275" s="317"/>
      <c r="S275" s="317"/>
      <c r="T275" s="317"/>
      <c r="U275" s="500"/>
      <c r="V275" s="500"/>
      <c r="W275" s="314"/>
      <c r="X275" s="28"/>
    </row>
    <row r="276" spans="1:24" s="39" customFormat="1" ht="15.75">
      <c r="A276" s="319" t="s">
        <v>2212</v>
      </c>
      <c r="B276" s="444"/>
      <c r="C276" s="444"/>
      <c r="D276" s="445"/>
      <c r="E276" s="468"/>
      <c r="F276" s="468"/>
      <c r="G276" s="447" t="s">
        <v>150</v>
      </c>
      <c r="H276" s="444"/>
      <c r="I276" s="319" t="s">
        <v>3536</v>
      </c>
      <c r="J276" s="445"/>
      <c r="K276" s="444"/>
      <c r="L276" s="318"/>
      <c r="M276" s="500"/>
      <c r="N276" s="500"/>
      <c r="O276" s="447" t="s">
        <v>150</v>
      </c>
      <c r="P276" s="444"/>
      <c r="Q276" s="319" t="s">
        <v>3537</v>
      </c>
      <c r="R276" s="444"/>
      <c r="S276" s="444"/>
      <c r="T276" s="444"/>
      <c r="U276" s="500"/>
      <c r="V276" s="500"/>
      <c r="W276" s="447" t="s">
        <v>150</v>
      </c>
    </row>
    <row r="277" spans="1:24" ht="15.75">
      <c r="A277" s="324" t="s">
        <v>4245</v>
      </c>
      <c r="B277" s="320"/>
      <c r="C277" s="320"/>
      <c r="D277" s="316"/>
      <c r="E277" s="468">
        <f>'Punten per wedstrijd'!I83*1.2</f>
        <v>23.4</v>
      </c>
      <c r="F277" s="468">
        <f>'Punten per wedstrijd'!I8</f>
        <v>70.099999999999994</v>
      </c>
      <c r="G277" s="313" t="s">
        <v>4556</v>
      </c>
      <c r="H277" s="320"/>
      <c r="I277" s="324" t="s">
        <v>4246</v>
      </c>
      <c r="J277" s="316"/>
      <c r="K277" s="317"/>
      <c r="L277" s="318"/>
      <c r="M277" s="468">
        <f>'Punten per wedstrijd'!J8*1.2</f>
        <v>410.64</v>
      </c>
      <c r="N277" s="468">
        <f>'Punten per wedstrijd'!J23</f>
        <v>546.1</v>
      </c>
      <c r="O277" s="313" t="s">
        <v>4556</v>
      </c>
      <c r="P277" s="320"/>
      <c r="Q277" s="324" t="s">
        <v>4247</v>
      </c>
      <c r="R277" s="317"/>
      <c r="S277" s="317"/>
      <c r="T277" s="317"/>
      <c r="U277" s="468">
        <f>'Punten per wedstrijd'!K92*1.2</f>
        <v>242.88</v>
      </c>
      <c r="V277" s="468">
        <f>'Punten per wedstrijd'!K8</f>
        <v>351.3</v>
      </c>
      <c r="W277" s="313" t="s">
        <v>4556</v>
      </c>
      <c r="X277" s="28"/>
    </row>
    <row r="278" spans="1:24" ht="15.75">
      <c r="A278" s="324" t="s">
        <v>4248</v>
      </c>
      <c r="B278" s="320"/>
      <c r="C278" s="320"/>
      <c r="D278" s="316"/>
      <c r="E278" s="468">
        <f>'Punten per wedstrijd'!I23*1.2</f>
        <v>144.6</v>
      </c>
      <c r="F278" s="468">
        <f>'Punten per wedstrijd'!I17</f>
        <v>38.4</v>
      </c>
      <c r="G278" s="313" t="s">
        <v>4555</v>
      </c>
      <c r="H278" s="320"/>
      <c r="I278" s="324" t="s">
        <v>4249</v>
      </c>
      <c r="J278" s="316"/>
      <c r="K278" s="317"/>
      <c r="L278" s="318"/>
      <c r="M278" s="468">
        <f>'Punten per wedstrijd'!J104*1.2</f>
        <v>739.74</v>
      </c>
      <c r="N278" s="468">
        <f>'Punten per wedstrijd'!J60</f>
        <v>690</v>
      </c>
      <c r="O278" s="313" t="s">
        <v>4557</v>
      </c>
      <c r="P278" s="320"/>
      <c r="Q278" s="324" t="s">
        <v>4250</v>
      </c>
      <c r="R278" s="317"/>
      <c r="S278" s="317"/>
      <c r="T278" s="317"/>
      <c r="U278" s="468">
        <f>'Punten per wedstrijd'!K60*1.2</f>
        <v>596.88</v>
      </c>
      <c r="V278" s="468">
        <f>'Punten per wedstrijd'!K17</f>
        <v>0</v>
      </c>
      <c r="W278" s="313" t="s">
        <v>4555</v>
      </c>
      <c r="X278" s="28"/>
    </row>
    <row r="279" spans="1:24" ht="15.75">
      <c r="A279" s="324" t="s">
        <v>4251</v>
      </c>
      <c r="B279" s="320"/>
      <c r="C279" s="320"/>
      <c r="D279" s="316"/>
      <c r="E279" s="468">
        <f>'Punten per wedstrijd'!I64*1.2</f>
        <v>275.39999999999998</v>
      </c>
      <c r="F279" s="468">
        <f>'Punten per wedstrijd'!I42</f>
        <v>463</v>
      </c>
      <c r="G279" s="313" t="s">
        <v>4556</v>
      </c>
      <c r="H279" s="320"/>
      <c r="I279" s="324" t="s">
        <v>4252</v>
      </c>
      <c r="J279" s="316"/>
      <c r="K279" s="317"/>
      <c r="L279" s="318"/>
      <c r="M279" s="468">
        <f>'Punten per wedstrijd'!J52*1.2</f>
        <v>412.2</v>
      </c>
      <c r="N279" s="468">
        <f>'Punten per wedstrijd'!J64</f>
        <v>547.40000000000009</v>
      </c>
      <c r="O279" s="313" t="s">
        <v>4556</v>
      </c>
      <c r="P279" s="320"/>
      <c r="Q279" s="324" t="s">
        <v>4253</v>
      </c>
      <c r="R279" s="317"/>
      <c r="S279" s="317"/>
      <c r="T279" s="317"/>
      <c r="U279" s="468">
        <f>'Punten per wedstrijd'!K23*1.2</f>
        <v>204.6</v>
      </c>
      <c r="V279" s="468">
        <f>'Punten per wedstrijd'!K42</f>
        <v>234.79999999999998</v>
      </c>
      <c r="W279" s="313" t="s">
        <v>4554</v>
      </c>
      <c r="X279" s="28"/>
    </row>
    <row r="280" spans="1:24" ht="15.75">
      <c r="A280" s="324" t="s">
        <v>4254</v>
      </c>
      <c r="B280" s="320"/>
      <c r="C280" s="320"/>
      <c r="D280" s="316"/>
      <c r="E280" s="468">
        <f>'Punten per wedstrijd'!I60*1.2</f>
        <v>356.03999999999996</v>
      </c>
      <c r="F280" s="468">
        <f>'Punten per wedstrijd'!I52</f>
        <v>97.5</v>
      </c>
      <c r="G280" s="313" t="s">
        <v>4555</v>
      </c>
      <c r="H280" s="320"/>
      <c r="I280" s="324" t="s">
        <v>4255</v>
      </c>
      <c r="J280" s="316"/>
      <c r="K280" s="317"/>
      <c r="L280" s="318"/>
      <c r="M280" s="468">
        <f>'Punten per wedstrijd'!J42*1.2</f>
        <v>571.79999999999995</v>
      </c>
      <c r="N280" s="468">
        <f>'Punten per wedstrijd'!J83</f>
        <v>543</v>
      </c>
      <c r="O280" s="313" t="s">
        <v>4557</v>
      </c>
      <c r="P280" s="320"/>
      <c r="Q280" s="324" t="s">
        <v>5051</v>
      </c>
      <c r="R280" s="317"/>
      <c r="S280" s="317"/>
      <c r="T280" s="317"/>
      <c r="U280" s="468">
        <f>'Punten per wedstrijd'!K64*1.2</f>
        <v>326.16000000000003</v>
      </c>
      <c r="V280" s="468">
        <f>'Punten per wedstrijd'!K83</f>
        <v>194.3</v>
      </c>
      <c r="W280" s="313" t="s">
        <v>4555</v>
      </c>
      <c r="X280" s="28"/>
    </row>
    <row r="281" spans="1:24" ht="15.75">
      <c r="A281" s="324" t="s">
        <v>4256</v>
      </c>
      <c r="B281" s="320"/>
      <c r="C281" s="320"/>
      <c r="D281" s="316"/>
      <c r="E281" s="468">
        <f>'Punten per wedstrijd'!I92*1.2</f>
        <v>285.12</v>
      </c>
      <c r="F281" s="468">
        <f>'Punten per wedstrijd'!I104</f>
        <v>427.90000000000003</v>
      </c>
      <c r="G281" s="313" t="s">
        <v>4556</v>
      </c>
      <c r="H281" s="320"/>
      <c r="I281" s="324" t="s">
        <v>4257</v>
      </c>
      <c r="J281" s="316"/>
      <c r="K281" s="317"/>
      <c r="L281" s="318"/>
      <c r="M281" s="468">
        <f>'Punten per wedstrijd'!J17*1.2</f>
        <v>535.55999999999995</v>
      </c>
      <c r="N281" s="468">
        <f>'Punten per wedstrijd'!J92</f>
        <v>464</v>
      </c>
      <c r="O281" s="313" t="s">
        <v>4557</v>
      </c>
      <c r="P281" s="320"/>
      <c r="Q281" s="324" t="s">
        <v>4258</v>
      </c>
      <c r="R281" s="317"/>
      <c r="S281" s="317"/>
      <c r="T281" s="317"/>
      <c r="U281" s="468">
        <f>'Punten per wedstrijd'!K52*1.2</f>
        <v>162.35999999999999</v>
      </c>
      <c r="V281" s="468">
        <f>'Punten per wedstrijd'!K104</f>
        <v>425.3</v>
      </c>
      <c r="W281" s="313" t="s">
        <v>4556</v>
      </c>
      <c r="X281" s="28"/>
    </row>
    <row r="282" spans="1:24" ht="15.75">
      <c r="A282" s="323"/>
      <c r="B282" s="320"/>
      <c r="C282" s="320"/>
      <c r="D282" s="316"/>
      <c r="E282" s="468"/>
      <c r="F282" s="468"/>
      <c r="G282" s="313"/>
      <c r="H282" s="320"/>
      <c r="I282" s="320"/>
      <c r="J282" s="316"/>
      <c r="K282" s="317"/>
      <c r="L282" s="318"/>
      <c r="M282" s="500"/>
      <c r="N282" s="500"/>
      <c r="O282" s="314"/>
      <c r="P282" s="320"/>
      <c r="Q282" s="316"/>
      <c r="R282" s="317"/>
      <c r="S282" s="317"/>
      <c r="T282" s="317"/>
      <c r="U282" s="500"/>
      <c r="V282" s="500"/>
      <c r="W282" s="314"/>
      <c r="X282" s="28"/>
    </row>
    <row r="283" spans="1:24" s="39" customFormat="1" ht="15.75">
      <c r="A283" s="319" t="s">
        <v>191</v>
      </c>
      <c r="B283" s="444"/>
      <c r="C283" s="444"/>
      <c r="D283" s="445"/>
      <c r="E283" s="468"/>
      <c r="F283" s="468"/>
      <c r="G283" s="447" t="s">
        <v>150</v>
      </c>
      <c r="H283" s="444"/>
      <c r="I283" s="319" t="s">
        <v>192</v>
      </c>
      <c r="J283" s="445"/>
      <c r="K283" s="444"/>
      <c r="L283" s="318"/>
      <c r="M283" s="500"/>
      <c r="N283" s="500"/>
      <c r="O283" s="447" t="s">
        <v>150</v>
      </c>
      <c r="P283" s="444"/>
      <c r="Q283" s="319" t="s">
        <v>195</v>
      </c>
      <c r="R283" s="444"/>
      <c r="S283" s="444"/>
      <c r="T283" s="444"/>
      <c r="U283" s="500"/>
      <c r="V283" s="500"/>
      <c r="W283" s="447" t="s">
        <v>150</v>
      </c>
    </row>
    <row r="284" spans="1:24" ht="15.75">
      <c r="A284" s="324" t="s">
        <v>4259</v>
      </c>
      <c r="B284" s="320"/>
      <c r="C284" s="320"/>
      <c r="D284" s="316"/>
      <c r="E284" s="468">
        <f>'Punten per wedstrijd'!L83*1.2</f>
        <v>78.11999999999999</v>
      </c>
      <c r="F284" s="468">
        <f>'Punten per wedstrijd'!L23</f>
        <v>81.8</v>
      </c>
      <c r="G284" s="313" t="s">
        <v>4554</v>
      </c>
      <c r="H284" s="320"/>
      <c r="I284" s="324" t="s">
        <v>2228</v>
      </c>
      <c r="J284" s="316"/>
      <c r="K284" s="317"/>
      <c r="L284" s="318"/>
      <c r="M284" s="468">
        <f>'Punten per wedstrijd'!M52*1.2</f>
        <v>474.59999999999997</v>
      </c>
      <c r="N284" s="468">
        <f>'Punten per wedstrijd'!M8</f>
        <v>281.89999999999964</v>
      </c>
      <c r="O284" s="313" t="s">
        <v>4555</v>
      </c>
      <c r="P284" s="320"/>
      <c r="Q284" s="324" t="s">
        <v>4260</v>
      </c>
      <c r="R284" s="317"/>
      <c r="S284" s="317"/>
      <c r="T284" s="317"/>
      <c r="U284" s="468"/>
      <c r="V284" s="468"/>
      <c r="W284" s="313"/>
      <c r="X284" s="28"/>
    </row>
    <row r="285" spans="1:24" ht="15.75">
      <c r="A285" s="324" t="s">
        <v>2229</v>
      </c>
      <c r="B285" s="320"/>
      <c r="C285" s="320"/>
      <c r="D285" s="316"/>
      <c r="E285" s="468">
        <f>'Punten per wedstrijd'!L17*1.2</f>
        <v>97.8</v>
      </c>
      <c r="F285" s="468">
        <f>'Punten per wedstrijd'!L52</f>
        <v>71.7</v>
      </c>
      <c r="G285" s="313" t="s">
        <v>4555</v>
      </c>
      <c r="H285" s="320"/>
      <c r="I285" s="324" t="s">
        <v>4261</v>
      </c>
      <c r="J285" s="316"/>
      <c r="K285" s="317"/>
      <c r="L285" s="318"/>
      <c r="M285" s="468">
        <f>'Punten per wedstrijd'!M104*1.2</f>
        <v>803.88000000000386</v>
      </c>
      <c r="N285" s="468">
        <f>'Punten per wedstrijd'!M17</f>
        <v>406.49999999999909</v>
      </c>
      <c r="O285" s="313" t="s">
        <v>4555</v>
      </c>
      <c r="P285" s="320"/>
      <c r="Q285" s="324" t="s">
        <v>4262</v>
      </c>
      <c r="R285" s="317"/>
      <c r="S285" s="317"/>
      <c r="T285" s="317"/>
      <c r="U285" s="468"/>
      <c r="V285" s="468"/>
      <c r="W285" s="313"/>
      <c r="X285" s="28"/>
    </row>
    <row r="286" spans="1:24" ht="15.75">
      <c r="A286" s="324" t="s">
        <v>4263</v>
      </c>
      <c r="B286" s="320"/>
      <c r="C286" s="320"/>
      <c r="D286" s="316"/>
      <c r="E286" s="468">
        <f>'Punten per wedstrijd'!L8*1.2</f>
        <v>207.96</v>
      </c>
      <c r="F286" s="468">
        <f>'Punten per wedstrijd'!L60</f>
        <v>396.9</v>
      </c>
      <c r="G286" s="313" t="s">
        <v>4556</v>
      </c>
      <c r="H286" s="320"/>
      <c r="I286" s="324" t="s">
        <v>4264</v>
      </c>
      <c r="J286" s="316"/>
      <c r="K286" s="317"/>
      <c r="L286" s="318"/>
      <c r="M286" s="468">
        <f>'Punten per wedstrijd'!M64*1.2</f>
        <v>603.2400000000008</v>
      </c>
      <c r="N286" s="468">
        <f>'Punten per wedstrijd'!M23</f>
        <v>426.99999999999909</v>
      </c>
      <c r="O286" s="313" t="s">
        <v>4555</v>
      </c>
      <c r="P286" s="320"/>
      <c r="Q286" s="324" t="s">
        <v>4265</v>
      </c>
      <c r="R286" s="317"/>
      <c r="S286" s="317"/>
      <c r="T286" s="317"/>
      <c r="U286" s="468"/>
      <c r="V286" s="468"/>
      <c r="W286" s="313"/>
      <c r="X286" s="28"/>
    </row>
    <row r="287" spans="1:24" ht="15.75">
      <c r="A287" s="324" t="s">
        <v>4266</v>
      </c>
      <c r="B287" s="320"/>
      <c r="C287" s="320"/>
      <c r="D287" s="316"/>
      <c r="E287" s="468">
        <f>'Punten per wedstrijd'!L104*1.2</f>
        <v>253.2</v>
      </c>
      <c r="F287" s="468">
        <f>'Punten per wedstrijd'!L64</f>
        <v>249.89999999999998</v>
      </c>
      <c r="G287" s="313" t="s">
        <v>4557</v>
      </c>
      <c r="H287" s="320"/>
      <c r="I287" s="324" t="s">
        <v>4267</v>
      </c>
      <c r="J287" s="316"/>
      <c r="K287" s="317"/>
      <c r="L287" s="318"/>
      <c r="M287" s="468">
        <f>'Punten per wedstrijd'!M60*1.2</f>
        <v>895.08000000000061</v>
      </c>
      <c r="N287" s="468">
        <f>'Punten per wedstrijd'!M42</f>
        <v>580.29999999999563</v>
      </c>
      <c r="O287" s="313" t="s">
        <v>4555</v>
      </c>
      <c r="P287" s="320"/>
      <c r="Q287" s="324" t="s">
        <v>4268</v>
      </c>
      <c r="R287" s="317"/>
      <c r="S287" s="317"/>
      <c r="T287" s="317"/>
      <c r="U287" s="468"/>
      <c r="V287" s="468"/>
      <c r="W287" s="313"/>
      <c r="X287" s="28"/>
    </row>
    <row r="288" spans="1:24" ht="15.75">
      <c r="A288" s="324" t="s">
        <v>4269</v>
      </c>
      <c r="B288" s="320"/>
      <c r="C288" s="320"/>
      <c r="D288" s="316"/>
      <c r="E288" s="468">
        <f>'Punten per wedstrijd'!L42*1.2</f>
        <v>288.36</v>
      </c>
      <c r="F288" s="468">
        <f>'Punten per wedstrijd'!L92</f>
        <v>128.4</v>
      </c>
      <c r="G288" s="313" t="s">
        <v>4555</v>
      </c>
      <c r="H288" s="320"/>
      <c r="I288" s="324" t="s">
        <v>4270</v>
      </c>
      <c r="J288" s="316"/>
      <c r="K288" s="317"/>
      <c r="L288" s="318"/>
      <c r="M288" s="468">
        <f>'Punten per wedstrijd'!M92*1.2</f>
        <v>623.63999999999976</v>
      </c>
      <c r="N288" s="468">
        <f>'Punten per wedstrijd'!M83</f>
        <v>431.39999999999782</v>
      </c>
      <c r="O288" s="313" t="s">
        <v>4555</v>
      </c>
      <c r="P288" s="320"/>
      <c r="Q288" s="324" t="s">
        <v>4271</v>
      </c>
      <c r="R288" s="317"/>
      <c r="S288" s="317"/>
      <c r="T288" s="317"/>
      <c r="U288" s="468"/>
      <c r="V288" s="468"/>
      <c r="W288" s="313"/>
      <c r="X288" s="28"/>
    </row>
    <row r="289" spans="1:26" ht="15.75">
      <c r="A289" s="323"/>
      <c r="B289" s="320"/>
      <c r="C289" s="320"/>
      <c r="D289" s="316"/>
      <c r="E289" s="468"/>
      <c r="F289" s="468"/>
      <c r="G289" s="311"/>
      <c r="H289" s="320"/>
      <c r="I289" s="316"/>
      <c r="J289" s="316"/>
      <c r="K289" s="317"/>
      <c r="L289" s="318"/>
      <c r="M289" s="500"/>
      <c r="N289" s="500"/>
      <c r="O289" s="314"/>
      <c r="P289" s="320"/>
      <c r="Q289" s="317"/>
      <c r="R289" s="317"/>
      <c r="S289" s="317"/>
      <c r="T289" s="317"/>
      <c r="U289" s="500"/>
      <c r="V289" s="500"/>
      <c r="W289" s="314"/>
      <c r="X289" s="28"/>
    </row>
    <row r="290" spans="1:26" s="39" customFormat="1" ht="15.75">
      <c r="A290" s="319" t="s">
        <v>193</v>
      </c>
      <c r="B290" s="444"/>
      <c r="C290" s="444"/>
      <c r="D290" s="445"/>
      <c r="E290" s="468"/>
      <c r="F290" s="468"/>
      <c r="G290" s="447" t="s">
        <v>150</v>
      </c>
      <c r="H290" s="444"/>
      <c r="I290" s="319" t="s">
        <v>194</v>
      </c>
      <c r="J290" s="445"/>
      <c r="K290" s="444"/>
      <c r="L290" s="318"/>
      <c r="M290" s="500"/>
      <c r="N290" s="500"/>
      <c r="O290" s="447" t="s">
        <v>150</v>
      </c>
      <c r="P290" s="444"/>
      <c r="Q290" s="319" t="s">
        <v>176</v>
      </c>
      <c r="R290" s="444"/>
      <c r="S290" s="444"/>
      <c r="T290" s="444"/>
      <c r="U290" s="500"/>
      <c r="V290" s="500"/>
      <c r="W290" s="447" t="s">
        <v>150</v>
      </c>
    </row>
    <row r="291" spans="1:26" ht="15.75">
      <c r="A291" s="324" t="s">
        <v>2227</v>
      </c>
      <c r="B291" s="320"/>
      <c r="C291" s="320"/>
      <c r="D291" s="316"/>
      <c r="E291" s="468"/>
      <c r="F291" s="468"/>
      <c r="G291" s="314"/>
      <c r="H291" s="320"/>
      <c r="I291" s="324" t="s">
        <v>4272</v>
      </c>
      <c r="J291" s="316"/>
      <c r="K291" s="317"/>
      <c r="L291" s="318"/>
      <c r="M291" s="468"/>
      <c r="N291" s="468"/>
      <c r="O291" s="313"/>
      <c r="P291" s="320"/>
      <c r="Q291" s="324" t="s">
        <v>4273</v>
      </c>
      <c r="R291" s="317"/>
      <c r="S291" s="317"/>
      <c r="T291" s="317"/>
      <c r="U291" s="468"/>
      <c r="V291" s="468"/>
      <c r="W291" s="313"/>
      <c r="X291" s="28"/>
    </row>
    <row r="292" spans="1:26" ht="15.75">
      <c r="A292" s="324" t="s">
        <v>4274</v>
      </c>
      <c r="B292" s="320"/>
      <c r="C292" s="320"/>
      <c r="D292" s="316"/>
      <c r="E292" s="468"/>
      <c r="F292" s="468"/>
      <c r="G292" s="313"/>
      <c r="H292" s="320"/>
      <c r="I292" s="324" t="s">
        <v>4275</v>
      </c>
      <c r="J292" s="316"/>
      <c r="K292" s="317"/>
      <c r="L292" s="318"/>
      <c r="M292" s="468"/>
      <c r="N292" s="468"/>
      <c r="O292" s="313"/>
      <c r="P292" s="320"/>
      <c r="Q292" s="324" t="s">
        <v>4276</v>
      </c>
      <c r="R292" s="317"/>
      <c r="S292" s="317"/>
      <c r="T292" s="317"/>
      <c r="U292" s="468"/>
      <c r="V292" s="468"/>
      <c r="W292" s="313"/>
      <c r="X292" s="28"/>
    </row>
    <row r="293" spans="1:26" ht="15.75">
      <c r="A293" s="324" t="s">
        <v>4277</v>
      </c>
      <c r="B293" s="320"/>
      <c r="C293" s="320"/>
      <c r="D293" s="316"/>
      <c r="E293" s="468"/>
      <c r="F293" s="468"/>
      <c r="G293" s="313"/>
      <c r="H293" s="320"/>
      <c r="I293" s="324" t="s">
        <v>4278</v>
      </c>
      <c r="J293" s="316"/>
      <c r="K293" s="317"/>
      <c r="L293" s="318"/>
      <c r="M293" s="468"/>
      <c r="N293" s="468"/>
      <c r="O293" s="313"/>
      <c r="P293" s="320"/>
      <c r="Q293" s="324" t="s">
        <v>4279</v>
      </c>
      <c r="R293" s="317"/>
      <c r="S293" s="317"/>
      <c r="T293" s="317"/>
      <c r="U293" s="468"/>
      <c r="V293" s="468"/>
      <c r="W293" s="313"/>
      <c r="X293" s="28"/>
    </row>
    <row r="294" spans="1:26" ht="15.75">
      <c r="A294" s="324" t="s">
        <v>4280</v>
      </c>
      <c r="B294" s="320"/>
      <c r="C294" s="320"/>
      <c r="D294" s="316"/>
      <c r="E294" s="468"/>
      <c r="F294" s="468"/>
      <c r="G294" s="313"/>
      <c r="H294" s="320"/>
      <c r="I294" s="324" t="s">
        <v>4281</v>
      </c>
      <c r="J294" s="316"/>
      <c r="K294" s="317"/>
      <c r="L294" s="318"/>
      <c r="M294" s="468"/>
      <c r="N294" s="468"/>
      <c r="O294" s="313"/>
      <c r="P294" s="320"/>
      <c r="Q294" s="324" t="s">
        <v>4282</v>
      </c>
      <c r="R294" s="317"/>
      <c r="S294" s="317"/>
      <c r="T294" s="317"/>
      <c r="U294" s="468"/>
      <c r="V294" s="468"/>
      <c r="W294" s="313"/>
      <c r="X294" s="28"/>
    </row>
    <row r="295" spans="1:26" ht="15.75">
      <c r="A295" s="324" t="s">
        <v>4283</v>
      </c>
      <c r="B295" s="320"/>
      <c r="C295" s="320"/>
      <c r="D295" s="316"/>
      <c r="E295" s="468"/>
      <c r="F295" s="468"/>
      <c r="G295" s="313"/>
      <c r="H295" s="316"/>
      <c r="I295" s="324" t="s">
        <v>4284</v>
      </c>
      <c r="J295" s="316"/>
      <c r="K295" s="317"/>
      <c r="L295" s="318"/>
      <c r="M295" s="468"/>
      <c r="N295" s="468"/>
      <c r="O295" s="313"/>
      <c r="P295" s="317"/>
      <c r="Q295" s="324" t="s">
        <v>4285</v>
      </c>
      <c r="R295" s="317"/>
      <c r="S295" s="317"/>
      <c r="T295" s="317"/>
      <c r="U295" s="468"/>
      <c r="V295" s="468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3463</v>
      </c>
      <c r="E298" s="435" t="s">
        <v>3464</v>
      </c>
      <c r="F298" s="435" t="s">
        <v>843</v>
      </c>
      <c r="G298" s="435" t="s">
        <v>2528</v>
      </c>
      <c r="H298" s="435" t="s">
        <v>2197</v>
      </c>
      <c r="I298" s="435" t="s">
        <v>2199</v>
      </c>
      <c r="J298" s="435" t="s">
        <v>2198</v>
      </c>
      <c r="K298" s="435" t="s">
        <v>2200</v>
      </c>
      <c r="L298" s="435" t="s">
        <v>2201</v>
      </c>
      <c r="M298" s="435" t="s">
        <v>2202</v>
      </c>
      <c r="N298" s="435" t="s">
        <v>2203</v>
      </c>
      <c r="O298" s="435" t="s">
        <v>2204</v>
      </c>
      <c r="P298" s="435" t="s">
        <v>2205</v>
      </c>
      <c r="Q298" s="435" t="s">
        <v>2206</v>
      </c>
      <c r="R298" s="435" t="s">
        <v>2207</v>
      </c>
      <c r="S298" s="435" t="s">
        <v>2184</v>
      </c>
      <c r="T298" s="435" t="s">
        <v>2208</v>
      </c>
      <c r="U298" s="435" t="s">
        <v>2209</v>
      </c>
      <c r="V298" s="202" t="s">
        <v>40</v>
      </c>
      <c r="W298" s="28"/>
      <c r="X298" s="28"/>
      <c r="Y298" s="28"/>
      <c r="Z298" s="28"/>
    </row>
    <row r="299" spans="1:26" ht="15.75">
      <c r="A299" s="281" t="s">
        <v>2298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/>
      <c r="S299" s="50"/>
      <c r="T299" s="50"/>
      <c r="U299" s="50"/>
      <c r="V299" s="303">
        <f>SUM(D299:U299)</f>
        <v>31</v>
      </c>
      <c r="W299" s="503">
        <f>SUM($F$258,$M$258,$V$259,$E$266,$N$265,$U$265,$F$274,$N$270,$U$272,$E$279,$N$279,$U$280,$F$287,$M$286,$V$286,$E$295,$M$291,$V$293)</f>
        <v>6822.4000000000024</v>
      </c>
      <c r="X299" s="50" t="s">
        <v>80</v>
      </c>
      <c r="Y299" s="28"/>
      <c r="Z299" s="28"/>
    </row>
    <row r="300" spans="1:26" ht="15.75">
      <c r="A300" s="63" t="s">
        <v>3589</v>
      </c>
      <c r="D300" s="50">
        <v>3</v>
      </c>
      <c r="E300" s="50">
        <v>3</v>
      </c>
      <c r="F300" s="50">
        <v>0</v>
      </c>
      <c r="G300" s="50">
        <v>3</v>
      </c>
      <c r="H300" s="50">
        <v>3</v>
      </c>
      <c r="I300" s="50">
        <v>0</v>
      </c>
      <c r="J300" s="50">
        <v>3</v>
      </c>
      <c r="K300" s="50">
        <v>2</v>
      </c>
      <c r="L300" s="50">
        <v>3</v>
      </c>
      <c r="M300" s="50">
        <v>3</v>
      </c>
      <c r="N300" s="50">
        <v>3</v>
      </c>
      <c r="O300" s="50">
        <v>1</v>
      </c>
      <c r="P300" s="50">
        <v>2</v>
      </c>
      <c r="Q300" s="50">
        <v>0</v>
      </c>
      <c r="R300" s="50"/>
      <c r="S300" s="50"/>
      <c r="T300" s="50"/>
      <c r="U300" s="50"/>
      <c r="V300" s="303">
        <f>SUM(D300:U300)</f>
        <v>29</v>
      </c>
      <c r="W300" s="503">
        <f>SUM($F$257,$M$256,$V$258,$E$263,$M$265,$V$266,$E$271,$N$272,$U$270,$E$278,$N$277,$U$279,$F$284,$N$286,$U$287,$F$292,$M$293,$V$291)</f>
        <v>6554.12</v>
      </c>
      <c r="X300" s="50" t="s">
        <v>81</v>
      </c>
      <c r="Y300" s="28"/>
      <c r="Z300" s="28"/>
    </row>
    <row r="301" spans="1:26" ht="15.75">
      <c r="A301" s="281" t="s">
        <v>2269</v>
      </c>
      <c r="B301" s="531"/>
      <c r="C301" s="531"/>
      <c r="D301" s="532">
        <v>3</v>
      </c>
      <c r="E301" s="532">
        <v>3</v>
      </c>
      <c r="F301" s="532">
        <v>3</v>
      </c>
      <c r="G301" s="532">
        <v>0</v>
      </c>
      <c r="H301" s="532">
        <v>0</v>
      </c>
      <c r="I301" s="532">
        <v>3</v>
      </c>
      <c r="J301" s="532">
        <v>0</v>
      </c>
      <c r="K301" s="532">
        <v>2</v>
      </c>
      <c r="L301" s="532">
        <v>0</v>
      </c>
      <c r="M301" s="532">
        <v>3</v>
      </c>
      <c r="N301" s="532">
        <v>2</v>
      </c>
      <c r="O301" s="532">
        <v>3</v>
      </c>
      <c r="P301" s="532">
        <v>2</v>
      </c>
      <c r="Q301" s="532">
        <v>3</v>
      </c>
      <c r="R301" s="532"/>
      <c r="S301" s="532"/>
      <c r="T301" s="532"/>
      <c r="U301" s="532"/>
      <c r="V301" s="533">
        <f>SUM(D301:U301)</f>
        <v>27</v>
      </c>
      <c r="W301" s="534">
        <f>SUM($E$260,$N$257,$U$260,$F$266,$N$264,$U$267,$F$272,$M$274,$V$270,$F$281,$M$278,$V$281,$E$287,$M$285,$V$288,$E$293,$N$295,$U$291)</f>
        <v>8190.6200000000053</v>
      </c>
      <c r="X301" s="50" t="s">
        <v>82</v>
      </c>
      <c r="Y301" s="28"/>
      <c r="Z301" s="28"/>
    </row>
    <row r="302" spans="1:26" ht="15.75">
      <c r="A302" s="411" t="s">
        <v>3590</v>
      </c>
      <c r="B302" s="327"/>
      <c r="C302" s="327"/>
      <c r="D302" s="330">
        <v>0</v>
      </c>
      <c r="E302" s="330">
        <v>0</v>
      </c>
      <c r="F302" s="330">
        <v>3</v>
      </c>
      <c r="G302" s="330">
        <v>2</v>
      </c>
      <c r="H302" s="330">
        <v>1</v>
      </c>
      <c r="I302" s="330">
        <v>0</v>
      </c>
      <c r="J302" s="330">
        <v>3</v>
      </c>
      <c r="K302" s="330">
        <v>3</v>
      </c>
      <c r="L302" s="330">
        <v>3</v>
      </c>
      <c r="M302" s="330">
        <v>3</v>
      </c>
      <c r="N302" s="330">
        <v>2</v>
      </c>
      <c r="O302" s="330">
        <v>2</v>
      </c>
      <c r="P302" s="330">
        <v>3</v>
      </c>
      <c r="Q302" s="330">
        <v>0</v>
      </c>
      <c r="R302" s="330"/>
      <c r="S302" s="330"/>
      <c r="T302" s="330"/>
      <c r="U302" s="330"/>
      <c r="V302" s="329">
        <f>SUM(D302:U302)</f>
        <v>25</v>
      </c>
      <c r="W302" s="504">
        <f>SUM($E$258,$N$259,$U$258,$F$267,$M$266,$V$263,$E$272,$N$271,$U$271,$F$279,$M$280,$V$279,$E$288,$N$287,$U$284,$F$293,$M$292,$V$292)</f>
        <v>7541.4399999999887</v>
      </c>
      <c r="X302" s="330" t="s">
        <v>83</v>
      </c>
      <c r="Y302" s="28"/>
      <c r="Z302" s="28"/>
    </row>
    <row r="303" spans="1:26" ht="15.75">
      <c r="A303" s="63" t="s">
        <v>3591</v>
      </c>
      <c r="D303" s="50">
        <v>0</v>
      </c>
      <c r="E303" s="50">
        <v>0</v>
      </c>
      <c r="F303" s="50">
        <v>2</v>
      </c>
      <c r="G303" s="50">
        <v>3</v>
      </c>
      <c r="H303" s="50">
        <v>2</v>
      </c>
      <c r="I303" s="50">
        <v>2</v>
      </c>
      <c r="J303" s="50">
        <v>0</v>
      </c>
      <c r="K303" s="50">
        <v>3</v>
      </c>
      <c r="L303" s="50">
        <v>0</v>
      </c>
      <c r="M303" s="50">
        <v>3</v>
      </c>
      <c r="N303" s="50">
        <v>1</v>
      </c>
      <c r="O303" s="50">
        <v>3</v>
      </c>
      <c r="P303" s="50">
        <v>3</v>
      </c>
      <c r="Q303" s="50">
        <v>3</v>
      </c>
      <c r="R303" s="50"/>
      <c r="S303" s="50"/>
      <c r="T303" s="50"/>
      <c r="U303" s="50"/>
      <c r="V303" s="303">
        <f>SUM(D303:U303)</f>
        <v>25</v>
      </c>
      <c r="W303" s="503">
        <f>SUM($F$259,$M$257,$V$257,$E$265,$N$266,$U$264,$F$271,$M$273,$V$272,$E$280,$N$278,$U$278,$F$286,$M$287,$V$285,$E$292,$N$294,$U$293)</f>
        <v>7064.140000000004</v>
      </c>
      <c r="X303" s="28"/>
      <c r="Y303" s="28"/>
      <c r="Z303" s="28"/>
    </row>
    <row r="304" spans="1:26" ht="15.75">
      <c r="A304" s="28" t="s">
        <v>3593</v>
      </c>
      <c r="D304" s="50">
        <v>0</v>
      </c>
      <c r="E304" s="50">
        <v>3</v>
      </c>
      <c r="F304" s="50">
        <v>3</v>
      </c>
      <c r="G304" s="50">
        <v>1</v>
      </c>
      <c r="H304" s="50">
        <v>3</v>
      </c>
      <c r="I304" s="50">
        <v>3</v>
      </c>
      <c r="J304" s="50">
        <v>1</v>
      </c>
      <c r="K304" s="50">
        <v>0</v>
      </c>
      <c r="L304" s="50">
        <v>1</v>
      </c>
      <c r="M304" s="50">
        <v>0</v>
      </c>
      <c r="N304" s="50">
        <v>1</v>
      </c>
      <c r="O304" s="50">
        <v>0</v>
      </c>
      <c r="P304" s="50">
        <v>0</v>
      </c>
      <c r="Q304" s="50">
        <v>3</v>
      </c>
      <c r="R304" s="50"/>
      <c r="S304" s="50"/>
      <c r="T304" s="50"/>
      <c r="U304" s="50"/>
      <c r="V304" s="303">
        <f>SUM(D304:U304)</f>
        <v>19</v>
      </c>
      <c r="W304" s="503">
        <f>SUM($F$260,$M$260,$V$256,$E$267,$N$267,$U$266,$E$274,$N$273,$U$274,$E$281,$N$281,$U$277,$F$288,$M$288,$V$287,$F$295,$M$294,$V$295)</f>
        <v>6578.8400000000011</v>
      </c>
      <c r="X304" s="28"/>
      <c r="Y304" s="28"/>
      <c r="Z304" s="28"/>
    </row>
    <row r="305" spans="1:26" ht="15.75">
      <c r="A305" s="278" t="s">
        <v>2257</v>
      </c>
      <c r="D305" s="50">
        <v>0</v>
      </c>
      <c r="E305" s="50">
        <v>0</v>
      </c>
      <c r="F305" s="50">
        <v>1</v>
      </c>
      <c r="G305" s="50">
        <v>3</v>
      </c>
      <c r="H305" s="50">
        <v>3</v>
      </c>
      <c r="I305" s="50">
        <v>1</v>
      </c>
      <c r="J305" s="50">
        <v>2</v>
      </c>
      <c r="K305" s="50">
        <v>0</v>
      </c>
      <c r="L305" s="50">
        <v>1</v>
      </c>
      <c r="M305" s="50">
        <v>0</v>
      </c>
      <c r="N305" s="50">
        <v>2</v>
      </c>
      <c r="O305" s="50">
        <v>0</v>
      </c>
      <c r="P305" s="50">
        <v>3</v>
      </c>
      <c r="Q305" s="50">
        <v>0</v>
      </c>
      <c r="R305" s="50"/>
      <c r="S305" s="50"/>
      <c r="T305" s="50"/>
      <c r="U305" s="50"/>
      <c r="V305" s="303">
        <f>SUM(D305:U305)</f>
        <v>16</v>
      </c>
      <c r="W305" s="503">
        <f>SUM($E$257,$N$260,$U$257,$F$264,$M$264,$V$265,$F$270,$M$271,$V$273,$F$278,$M$281,$V$278,$E$285,$N$285,$U$286,$E$291,$N$292,$U$294)</f>
        <v>5064.8199999999988</v>
      </c>
      <c r="X305" s="28"/>
      <c r="Y305" s="28"/>
      <c r="Z305" s="28"/>
    </row>
    <row r="306" spans="1:26" ht="15.75">
      <c r="A306" s="63" t="s">
        <v>3592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/>
      <c r="S306" s="50"/>
      <c r="T306" s="50"/>
      <c r="U306" s="50"/>
      <c r="V306" s="303">
        <f>SUM(D306:U306)</f>
        <v>14</v>
      </c>
      <c r="W306" s="503">
        <f>SUM($F$256,$M$259,$U$259,$F$263,$M$267,$V$264,$E$273,$N$274,$U$273,$E$277,$N$280,$V$280,$E$284,$N$288,$U$285,$F$294,$M$295,$V$294)</f>
        <v>6376.8399999999956</v>
      </c>
      <c r="X306" s="28"/>
      <c r="Y306" s="28"/>
      <c r="Z306" s="28"/>
    </row>
    <row r="307" spans="1:26" ht="15.75">
      <c r="A307" s="28" t="s">
        <v>2259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/>
      <c r="S307" s="50"/>
      <c r="T307" s="50"/>
      <c r="U307" s="50"/>
      <c r="V307" s="303">
        <f>SUM(D307:U307)</f>
        <v>13</v>
      </c>
      <c r="W307" s="503">
        <f>SUM($E$259,$N$258,$V$260,$E$264,$N$263,$U$263,$F$273,$M$272,$V$274,$F$280,$M$279,$U$281,$F$285,$M$284,$V$284,$E$294,$N$293,$U$295)</f>
        <v>6795.0599999999968</v>
      </c>
      <c r="X307" s="28"/>
      <c r="Y307" s="28"/>
      <c r="Z307" s="28"/>
    </row>
    <row r="308" spans="1:26" ht="15.75">
      <c r="A308" s="535" t="s">
        <v>2256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/>
      <c r="S308" s="50"/>
      <c r="T308" s="50"/>
      <c r="U308" s="50"/>
      <c r="V308" s="303">
        <f>SUM(D308:U308)</f>
        <v>11</v>
      </c>
      <c r="W308" s="503">
        <f>SUM($E$256,$N$256,$U$256,$F$265,$M$263,$V$267,$E$270,$M$270,$V$271,$F$277,$M$277,$V$277,$E$286,$N$284,$U$288,$F$291,$N$291,$U$292)</f>
        <v>4211.6799999999967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9">
        <f>SUM(W299:W308)</f>
        <v>65199.959999999992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9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2166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4"/>
      <c r="C315" s="444"/>
      <c r="D315" s="445"/>
      <c r="E315" s="445"/>
      <c r="F315" s="445"/>
      <c r="G315" s="318" t="s">
        <v>150</v>
      </c>
      <c r="H315" s="444"/>
      <c r="I315" s="319" t="s">
        <v>184</v>
      </c>
      <c r="J315" s="445"/>
      <c r="K315" s="444"/>
      <c r="L315" s="318"/>
      <c r="M315" s="444"/>
      <c r="N315" s="444"/>
      <c r="O315" s="318" t="s">
        <v>150</v>
      </c>
      <c r="P315" s="444"/>
      <c r="Q315" s="319" t="s">
        <v>843</v>
      </c>
      <c r="R315" s="444"/>
      <c r="S315" s="444"/>
      <c r="T315" s="444"/>
      <c r="U315" s="444"/>
      <c r="V315" s="444"/>
      <c r="W315" s="318" t="s">
        <v>150</v>
      </c>
    </row>
    <row r="316" spans="1:26" ht="15.75">
      <c r="A316" s="324" t="s">
        <v>3632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4554</v>
      </c>
      <c r="H316" s="320"/>
      <c r="I316" s="324" t="s">
        <v>3774</v>
      </c>
      <c r="J316" s="316"/>
      <c r="K316" s="317"/>
      <c r="L316" s="318"/>
      <c r="M316" s="468">
        <f>'Punten per wedstrijd'!E40*1.2</f>
        <v>383.87999999999994</v>
      </c>
      <c r="N316" s="468">
        <f>'Punten per wedstrijd'!E7</f>
        <v>200.19999999999993</v>
      </c>
      <c r="O316" s="313" t="s">
        <v>4555</v>
      </c>
      <c r="P316" s="320"/>
      <c r="Q316" s="324" t="s">
        <v>3779</v>
      </c>
      <c r="R316" s="317"/>
      <c r="S316" s="317"/>
      <c r="T316" s="317"/>
      <c r="U316" s="468">
        <f>'Punten per wedstrijd'!F111*1.2</f>
        <v>955.92000000000121</v>
      </c>
      <c r="V316" s="468">
        <f>'Punten per wedstrijd'!F193</f>
        <v>525.99999999999886</v>
      </c>
      <c r="W316" s="313" t="s">
        <v>4555</v>
      </c>
    </row>
    <row r="317" spans="1:26" ht="15.75">
      <c r="A317" s="324" t="s">
        <v>3633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4555</v>
      </c>
      <c r="H317" s="320"/>
      <c r="I317" s="324" t="s">
        <v>3775</v>
      </c>
      <c r="J317" s="316"/>
      <c r="K317" s="317"/>
      <c r="L317" s="318"/>
      <c r="M317" s="468">
        <f>'Punten per wedstrijd'!E62*1.2</f>
        <v>321.83999999999992</v>
      </c>
      <c r="N317" s="468">
        <f>'Punten per wedstrijd'!E93</f>
        <v>323.8</v>
      </c>
      <c r="O317" s="313" t="s">
        <v>4554</v>
      </c>
      <c r="P317" s="320"/>
      <c r="Q317" s="324" t="s">
        <v>3783</v>
      </c>
      <c r="R317" s="317"/>
      <c r="S317" s="317"/>
      <c r="T317" s="317"/>
      <c r="U317" s="468">
        <f>'Punten per wedstrijd'!F133*1.2</f>
        <v>584.52000000000044</v>
      </c>
      <c r="V317" s="468">
        <f>'Punten per wedstrijd'!F166</f>
        <v>655.19999999999959</v>
      </c>
      <c r="W317" s="313" t="s">
        <v>4554</v>
      </c>
    </row>
    <row r="318" spans="1:26" ht="15.75">
      <c r="A318" s="324" t="s">
        <v>3634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4555</v>
      </c>
      <c r="H318" s="320"/>
      <c r="I318" s="324" t="s">
        <v>3776</v>
      </c>
      <c r="J318" s="316"/>
      <c r="K318" s="317"/>
      <c r="L318" s="318"/>
      <c r="M318" s="468">
        <f>'Punten per wedstrijd'!E71*1.2</f>
        <v>92.399999999999721</v>
      </c>
      <c r="N318" s="468">
        <f>'Punten per wedstrijd'!E55</f>
        <v>244.20000000000022</v>
      </c>
      <c r="O318" s="313" t="s">
        <v>4556</v>
      </c>
      <c r="P318" s="320"/>
      <c r="Q318" s="324" t="s">
        <v>3780</v>
      </c>
      <c r="R318" s="317"/>
      <c r="S318" s="317"/>
      <c r="T318" s="317"/>
      <c r="U318" s="468">
        <f>'Punten per wedstrijd'!F152*1.2</f>
        <v>630.11999999999875</v>
      </c>
      <c r="V318" s="468">
        <f>'Punten per wedstrijd'!F144</f>
        <v>549.60000000000014</v>
      </c>
      <c r="W318" s="313" t="s">
        <v>4557</v>
      </c>
    </row>
    <row r="319" spans="1:26" ht="15.75">
      <c r="A319" s="324" t="s">
        <v>3635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4556</v>
      </c>
      <c r="H319" s="320"/>
      <c r="I319" s="324" t="s">
        <v>3777</v>
      </c>
      <c r="J319" s="316"/>
      <c r="K319" s="317"/>
      <c r="L319" s="318"/>
      <c r="M319" s="468">
        <f>'Punten per wedstrijd'!E72*1.2</f>
        <v>354.96000000000021</v>
      </c>
      <c r="N319" s="468">
        <f>'Punten per wedstrijd'!E48</f>
        <v>314.8000000000003</v>
      </c>
      <c r="O319" s="313" t="s">
        <v>4557</v>
      </c>
      <c r="P319" s="320"/>
      <c r="Q319" s="324" t="s">
        <v>3781</v>
      </c>
      <c r="R319" s="317"/>
      <c r="S319" s="317"/>
      <c r="T319" s="317"/>
      <c r="U319" s="468">
        <f>'Punten per wedstrijd'!F176*1.2</f>
        <v>948.83999999999924</v>
      </c>
      <c r="V319" s="468">
        <f>'Punten per wedstrijd'!F175</f>
        <v>488.80000000000064</v>
      </c>
      <c r="W319" s="313" t="s">
        <v>4555</v>
      </c>
    </row>
    <row r="320" spans="1:26" ht="15.75">
      <c r="A320" s="324" t="s">
        <v>3636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4557</v>
      </c>
      <c r="H320" s="320"/>
      <c r="I320" s="324" t="s">
        <v>3778</v>
      </c>
      <c r="J320" s="316"/>
      <c r="K320" s="317"/>
      <c r="L320" s="318"/>
      <c r="M320" s="468">
        <f>'Punten per wedstrijd'!E89*1.2</f>
        <v>153.11999999999995</v>
      </c>
      <c r="N320" s="468">
        <f>'Punten per wedstrijd'!E29</f>
        <v>260.70000000000005</v>
      </c>
      <c r="O320" s="313" t="s">
        <v>4556</v>
      </c>
      <c r="P320" s="320"/>
      <c r="Q320" s="324" t="s">
        <v>3782</v>
      </c>
      <c r="R320" s="317"/>
      <c r="S320" s="317"/>
      <c r="T320" s="317"/>
      <c r="U320" s="468">
        <f>'Punten per wedstrijd'!F197*1.2</f>
        <v>1039.4399999999987</v>
      </c>
      <c r="V320" s="468">
        <f>'Punten per wedstrijd'!F159</f>
        <v>559.49999999999864</v>
      </c>
      <c r="W320" s="313" t="s">
        <v>4555</v>
      </c>
    </row>
    <row r="321" spans="1:24" ht="15.75">
      <c r="A321" s="323"/>
      <c r="B321" s="320"/>
      <c r="C321" s="320"/>
      <c r="D321" s="316"/>
      <c r="E321" s="468"/>
      <c r="F321" s="468"/>
      <c r="G321" s="313"/>
      <c r="H321" s="320"/>
      <c r="I321" s="320"/>
      <c r="J321" s="316"/>
      <c r="K321" s="317"/>
      <c r="L321" s="318"/>
      <c r="M321" s="500"/>
      <c r="N321" s="500"/>
      <c r="O321" s="314"/>
      <c r="P321" s="320"/>
      <c r="Q321" s="316"/>
      <c r="R321" s="317"/>
      <c r="S321" s="317"/>
      <c r="T321" s="317"/>
      <c r="U321" s="500"/>
      <c r="V321" s="500"/>
      <c r="W321" s="314"/>
    </row>
    <row r="322" spans="1:24" s="39" customFormat="1" ht="15.75">
      <c r="A322" s="319" t="s">
        <v>2210</v>
      </c>
      <c r="B322" s="444"/>
      <c r="C322" s="444"/>
      <c r="D322" s="445"/>
      <c r="E322" s="468"/>
      <c r="F322" s="468"/>
      <c r="G322" s="447" t="s">
        <v>150</v>
      </c>
      <c r="H322" s="444"/>
      <c r="I322" s="319" t="s">
        <v>186</v>
      </c>
      <c r="J322" s="445"/>
      <c r="K322" s="444"/>
      <c r="L322" s="318"/>
      <c r="M322" s="500"/>
      <c r="N322" s="500"/>
      <c r="O322" s="447" t="s">
        <v>150</v>
      </c>
      <c r="P322" s="444"/>
      <c r="Q322" s="319" t="s">
        <v>175</v>
      </c>
      <c r="R322" s="444"/>
      <c r="S322" s="444"/>
      <c r="T322" s="444"/>
      <c r="U322" s="500"/>
      <c r="V322" s="500"/>
      <c r="W322" s="447" t="s">
        <v>150</v>
      </c>
    </row>
    <row r="323" spans="1:24" ht="15.75">
      <c r="A323" s="324" t="s">
        <v>3784</v>
      </c>
      <c r="B323" s="320"/>
      <c r="C323" s="320"/>
      <c r="D323" s="316"/>
      <c r="E323" s="468">
        <f>'Punten per wedstrijd'!F40*1.2</f>
        <v>278.1600000000002</v>
      </c>
      <c r="F323" s="468">
        <f>'Punten per wedstrijd'!F72</f>
        <v>132.59999999999968</v>
      </c>
      <c r="G323" s="313" t="s">
        <v>4555</v>
      </c>
      <c r="H323" s="320"/>
      <c r="I323" s="324" t="s">
        <v>3789</v>
      </c>
      <c r="J323" s="316"/>
      <c r="K323" s="317"/>
      <c r="L323" s="318"/>
      <c r="M323" s="468">
        <f>'Punten per wedstrijd'!G7*1.2</f>
        <v>357.96000000000129</v>
      </c>
      <c r="N323" s="468">
        <f>'Punten per wedstrijd'!G55</f>
        <v>189.599999999999</v>
      </c>
      <c r="O323" s="313" t="s">
        <v>4555</v>
      </c>
      <c r="P323" s="320"/>
      <c r="Q323" s="324" t="s">
        <v>3793</v>
      </c>
      <c r="R323" s="317"/>
      <c r="S323" s="317"/>
      <c r="T323" s="317"/>
      <c r="U323" s="468">
        <f>'Punten per wedstrijd'!G159*1.2</f>
        <v>894.35999999999797</v>
      </c>
      <c r="V323" s="468">
        <f>'Punten per wedstrijd'!G152</f>
        <v>1192.9000000000001</v>
      </c>
      <c r="W323" s="313" t="s">
        <v>4556</v>
      </c>
    </row>
    <row r="324" spans="1:24" ht="15.75">
      <c r="A324" s="324" t="s">
        <v>3785</v>
      </c>
      <c r="B324" s="320"/>
      <c r="C324" s="320"/>
      <c r="D324" s="316"/>
      <c r="E324" s="468">
        <f>'Punten per wedstrijd'!F55*1.2</f>
        <v>598.3199999999996</v>
      </c>
      <c r="F324" s="468">
        <f>'Punten per wedstrijd'!F29</f>
        <v>353.09999999999991</v>
      </c>
      <c r="G324" s="313" t="s">
        <v>4555</v>
      </c>
      <c r="H324" s="320"/>
      <c r="I324" s="324" t="s">
        <v>3797</v>
      </c>
      <c r="J324" s="316"/>
      <c r="K324" s="317"/>
      <c r="L324" s="318"/>
      <c r="M324" s="468">
        <f>'Punten per wedstrijd'!G29*1.2</f>
        <v>503.0400000000003</v>
      </c>
      <c r="N324" s="468">
        <f>'Punten per wedstrijd'!G93</f>
        <v>252.599999999999</v>
      </c>
      <c r="O324" s="313" t="s">
        <v>4555</v>
      </c>
      <c r="P324" s="320"/>
      <c r="Q324" s="324" t="s">
        <v>3794</v>
      </c>
      <c r="R324" s="317"/>
      <c r="S324" s="317"/>
      <c r="T324" s="317"/>
      <c r="U324" s="468">
        <f>'Punten per wedstrijd'!G166*1.2</f>
        <v>644.27999999999793</v>
      </c>
      <c r="V324" s="468">
        <f>'Punten per wedstrijd'!G176</f>
        <v>601.09999999999991</v>
      </c>
      <c r="W324" s="313" t="s">
        <v>4557</v>
      </c>
    </row>
    <row r="325" spans="1:24" ht="15.75">
      <c r="A325" s="324" t="s">
        <v>3786</v>
      </c>
      <c r="B325" s="320"/>
      <c r="C325" s="320"/>
      <c r="D325" s="316"/>
      <c r="E325" s="468">
        <f>'Punten per wedstrijd'!F62*1.2</f>
        <v>392.64000000000061</v>
      </c>
      <c r="F325" s="468">
        <f>'Punten per wedstrijd'!F7</f>
        <v>335.00000000000023</v>
      </c>
      <c r="G325" s="313" t="s">
        <v>4557</v>
      </c>
      <c r="H325" s="320"/>
      <c r="I325" s="324" t="s">
        <v>3790</v>
      </c>
      <c r="J325" s="316"/>
      <c r="K325" s="317"/>
      <c r="L325" s="318"/>
      <c r="M325" s="468">
        <f>'Punten per wedstrijd'!G40*1.2</f>
        <v>269.28000000000009</v>
      </c>
      <c r="N325" s="468">
        <f>'Punten per wedstrijd'!G71</f>
        <v>383.20000000000027</v>
      </c>
      <c r="O325" s="313" t="s">
        <v>4556</v>
      </c>
      <c r="P325" s="320"/>
      <c r="Q325" s="324" t="s">
        <v>3795</v>
      </c>
      <c r="R325" s="317"/>
      <c r="S325" s="317"/>
      <c r="T325" s="317"/>
      <c r="U325" s="468">
        <f>'Punten per wedstrijd'!G175*1.2</f>
        <v>918.96000000000015</v>
      </c>
      <c r="V325" s="468">
        <f>'Punten per wedstrijd'!G133</f>
        <v>988.10000000000036</v>
      </c>
      <c r="W325" s="313" t="s">
        <v>4554</v>
      </c>
    </row>
    <row r="326" spans="1:24" ht="15.75">
      <c r="A326" s="324" t="s">
        <v>3787</v>
      </c>
      <c r="B326" s="320"/>
      <c r="C326" s="320"/>
      <c r="D326" s="316"/>
      <c r="E326" s="468">
        <f>'Punten per wedstrijd'!F71*1.2</f>
        <v>507.96000000000021</v>
      </c>
      <c r="F326" s="468">
        <f>'Punten per wedstrijd'!F93</f>
        <v>231.7999999999995</v>
      </c>
      <c r="G326" s="313" t="s">
        <v>4555</v>
      </c>
      <c r="H326" s="320"/>
      <c r="I326" s="324" t="s">
        <v>3791</v>
      </c>
      <c r="J326" s="316"/>
      <c r="K326" s="317"/>
      <c r="L326" s="318"/>
      <c r="M326" s="468">
        <f>'Punten per wedstrijd'!G48*1.2</f>
        <v>361.4399999999992</v>
      </c>
      <c r="N326" s="468">
        <f>'Punten per wedstrijd'!G62</f>
        <v>342.89999999999918</v>
      </c>
      <c r="O326" s="313" t="s">
        <v>4557</v>
      </c>
      <c r="P326" s="320"/>
      <c r="Q326" s="324" t="s">
        <v>3796</v>
      </c>
      <c r="R326" s="317"/>
      <c r="S326" s="317"/>
      <c r="T326" s="317"/>
      <c r="U326" s="468">
        <f>'Punten per wedstrijd'!G193*1.2</f>
        <v>705.83999999999924</v>
      </c>
      <c r="V326" s="468">
        <f>'Punten per wedstrijd'!G144</f>
        <v>715.29999999999973</v>
      </c>
      <c r="W326" s="313" t="s">
        <v>4554</v>
      </c>
    </row>
    <row r="327" spans="1:24" ht="15.75">
      <c r="A327" s="324" t="s">
        <v>3788</v>
      </c>
      <c r="B327" s="320"/>
      <c r="C327" s="320"/>
      <c r="D327" s="316"/>
      <c r="E327" s="468">
        <f>'Punten per wedstrijd'!F89*1.2</f>
        <v>505.91999999999962</v>
      </c>
      <c r="F327" s="468">
        <f>'Punten per wedstrijd'!F48</f>
        <v>293.29999999999927</v>
      </c>
      <c r="G327" s="313" t="s">
        <v>4555</v>
      </c>
      <c r="H327" s="320"/>
      <c r="I327" s="324" t="s">
        <v>3792</v>
      </c>
      <c r="J327" s="316"/>
      <c r="K327" s="317"/>
      <c r="L327" s="318"/>
      <c r="M327" s="468">
        <f>'Punten per wedstrijd'!G72*1.2</f>
        <v>390.48000000000008</v>
      </c>
      <c r="N327" s="468">
        <f>'Punten per wedstrijd'!G89</f>
        <v>202.49999999999909</v>
      </c>
      <c r="O327" s="313" t="s">
        <v>4555</v>
      </c>
      <c r="P327" s="320"/>
      <c r="Q327" s="324" t="s">
        <v>2305</v>
      </c>
      <c r="R327" s="317"/>
      <c r="S327" s="317"/>
      <c r="T327" s="317"/>
      <c r="U327" s="468">
        <f>'Punten per wedstrijd'!G197*1.2</f>
        <v>983.0399999999986</v>
      </c>
      <c r="V327" s="468">
        <f>'Punten per wedstrijd'!G111</f>
        <v>836.10000000000036</v>
      </c>
      <c r="W327" s="313" t="s">
        <v>4557</v>
      </c>
    </row>
    <row r="328" spans="1:24" ht="15.75">
      <c r="A328" s="323"/>
      <c r="B328" s="320"/>
      <c r="C328" s="320"/>
      <c r="D328" s="316"/>
      <c r="E328" s="468"/>
      <c r="F328" s="468"/>
      <c r="G328" s="311"/>
      <c r="H328" s="320"/>
      <c r="I328" s="316"/>
      <c r="J328" s="316"/>
      <c r="K328" s="317"/>
      <c r="L328" s="318"/>
      <c r="M328" s="500"/>
      <c r="N328" s="500"/>
      <c r="O328" s="314"/>
      <c r="P328" s="320"/>
      <c r="Q328" s="317"/>
      <c r="R328" s="317"/>
      <c r="S328" s="317"/>
      <c r="T328" s="317"/>
      <c r="U328" s="500"/>
      <c r="V328" s="500"/>
      <c r="W328" s="314"/>
    </row>
    <row r="329" spans="1:24" s="39" customFormat="1" ht="15.75">
      <c r="A329" s="319" t="s">
        <v>187</v>
      </c>
      <c r="B329" s="444"/>
      <c r="C329" s="444"/>
      <c r="D329" s="445"/>
      <c r="E329" s="468"/>
      <c r="F329" s="468"/>
      <c r="G329" s="447" t="s">
        <v>150</v>
      </c>
      <c r="H329" s="444"/>
      <c r="I329" s="319" t="s">
        <v>188</v>
      </c>
      <c r="J329" s="445"/>
      <c r="K329" s="444"/>
      <c r="L329" s="318"/>
      <c r="M329" s="500"/>
      <c r="N329" s="500"/>
      <c r="O329" s="447" t="s">
        <v>150</v>
      </c>
      <c r="P329" s="444"/>
      <c r="Q329" s="319" t="s">
        <v>2211</v>
      </c>
      <c r="R329" s="444"/>
      <c r="S329" s="444"/>
      <c r="T329" s="444"/>
      <c r="U329" s="500"/>
      <c r="V329" s="500"/>
      <c r="W329" s="447" t="s">
        <v>150</v>
      </c>
    </row>
    <row r="330" spans="1:24" ht="15.75">
      <c r="A330" s="324" t="s">
        <v>3801</v>
      </c>
      <c r="B330" s="320"/>
      <c r="C330" s="320"/>
      <c r="D330" s="316"/>
      <c r="E330" s="468">
        <f>'Punten per wedstrijd'!H111*1.2</f>
        <v>814.43999999999869</v>
      </c>
      <c r="F330" s="468">
        <f>'Punten per wedstrijd'!H133</f>
        <v>603.30000000000018</v>
      </c>
      <c r="G330" s="313" t="s">
        <v>4555</v>
      </c>
      <c r="H330" s="320"/>
      <c r="I330" s="324" t="s">
        <v>3802</v>
      </c>
      <c r="J330" s="316"/>
      <c r="K330" s="317"/>
      <c r="L330" s="318"/>
      <c r="M330" s="468">
        <f>'Punten per wedstrijd'!H7*1.2</f>
        <v>595.43999999999755</v>
      </c>
      <c r="N330" s="468">
        <f>'Punten per wedstrijd'!H71</f>
        <v>697.30000000000109</v>
      </c>
      <c r="O330" s="313" t="s">
        <v>4554</v>
      </c>
      <c r="P330" s="320"/>
      <c r="Q330" s="324" t="s">
        <v>3807</v>
      </c>
      <c r="R330" s="317"/>
      <c r="S330" s="317"/>
      <c r="T330" s="317"/>
      <c r="U330" s="468">
        <f>'Punten per wedstrijd'!I144*1.2</f>
        <v>1179.7199999999993</v>
      </c>
      <c r="V330" s="468">
        <f>'Punten per wedstrijd'!I197</f>
        <v>893.49999999999909</v>
      </c>
      <c r="W330" s="313" t="s">
        <v>4555</v>
      </c>
    </row>
    <row r="331" spans="1:24" ht="15.75">
      <c r="A331" s="324" t="s">
        <v>2226</v>
      </c>
      <c r="B331" s="320"/>
      <c r="C331" s="320"/>
      <c r="D331" s="316"/>
      <c r="E331" s="468">
        <f>'Punten per wedstrijd'!H144*1.2</f>
        <v>818.1600000000002</v>
      </c>
      <c r="F331" s="468">
        <f>'Punten per wedstrijd'!H166</f>
        <v>647.59999999999854</v>
      </c>
      <c r="G331" s="313" t="s">
        <v>4555</v>
      </c>
      <c r="H331" s="320"/>
      <c r="I331" s="324" t="s">
        <v>3803</v>
      </c>
      <c r="J331" s="316"/>
      <c r="K331" s="317"/>
      <c r="L331" s="318"/>
      <c r="M331" s="468">
        <f>'Punten per wedstrijd'!H29*1.2</f>
        <v>835.32000000000039</v>
      </c>
      <c r="N331" s="468">
        <f>'Punten per wedstrijd'!H48</f>
        <v>586.05000000000018</v>
      </c>
      <c r="O331" s="313" t="s">
        <v>4555</v>
      </c>
      <c r="P331" s="320"/>
      <c r="Q331" s="324" t="s">
        <v>3808</v>
      </c>
      <c r="R331" s="317"/>
      <c r="S331" s="317"/>
      <c r="T331" s="317"/>
      <c r="U331" s="468">
        <f>'Punten per wedstrijd'!I152*1.2</f>
        <v>960.71999999999935</v>
      </c>
      <c r="V331" s="468">
        <f>'Punten per wedstrijd'!I111</f>
        <v>698.10000000000036</v>
      </c>
      <c r="W331" s="313" t="s">
        <v>4555</v>
      </c>
    </row>
    <row r="332" spans="1:24" ht="15.75">
      <c r="A332" s="324" t="s">
        <v>3798</v>
      </c>
      <c r="B332" s="320"/>
      <c r="C332" s="320"/>
      <c r="D332" s="316"/>
      <c r="E332" s="468">
        <f>'Punten per wedstrijd'!H152*1.2</f>
        <v>686.5199999999993</v>
      </c>
      <c r="F332" s="468">
        <f>'Punten per wedstrijd'!H197</f>
        <v>565.00000000000091</v>
      </c>
      <c r="G332" s="313" t="s">
        <v>4557</v>
      </c>
      <c r="H332" s="320"/>
      <c r="I332" s="324" t="s">
        <v>3804</v>
      </c>
      <c r="J332" s="316"/>
      <c r="K332" s="317"/>
      <c r="L332" s="318"/>
      <c r="M332" s="468">
        <f>'Punten per wedstrijd'!H55*1.2</f>
        <v>808.07999999999959</v>
      </c>
      <c r="N332" s="468">
        <f>'Punten per wedstrijd'!H40</f>
        <v>608.5</v>
      </c>
      <c r="O332" s="313" t="s">
        <v>4555</v>
      </c>
      <c r="P332" s="320"/>
      <c r="Q332" s="324" t="s">
        <v>3809</v>
      </c>
      <c r="R332" s="317"/>
      <c r="S332" s="317"/>
      <c r="T332" s="317"/>
      <c r="U332" s="468">
        <f>'Punten per wedstrijd'!I175*1.2</f>
        <v>927.48000000000059</v>
      </c>
      <c r="V332" s="468">
        <f>'Punten per wedstrijd'!I166</f>
        <v>866.60000000000218</v>
      </c>
      <c r="W332" s="313" t="s">
        <v>4557</v>
      </c>
    </row>
    <row r="333" spans="1:24" ht="15.75">
      <c r="A333" s="324" t="s">
        <v>3799</v>
      </c>
      <c r="B333" s="320"/>
      <c r="C333" s="320"/>
      <c r="D333" s="316"/>
      <c r="E333" s="468">
        <f>'Punten per wedstrijd'!H176*1.2</f>
        <v>492.24000000000086</v>
      </c>
      <c r="F333" s="468">
        <f>'Punten per wedstrijd'!H159</f>
        <v>608.29999999999836</v>
      </c>
      <c r="G333" s="313" t="s">
        <v>4554</v>
      </c>
      <c r="H333" s="320"/>
      <c r="I333" s="324" t="s">
        <v>3805</v>
      </c>
      <c r="J333" s="316"/>
      <c r="K333" s="317"/>
      <c r="L333" s="318"/>
      <c r="M333" s="468">
        <f>'Punten per wedstrijd'!H62*1.2</f>
        <v>581.03999999999974</v>
      </c>
      <c r="N333" s="468">
        <f>'Punten per wedstrijd'!H89</f>
        <v>489.00000000000182</v>
      </c>
      <c r="O333" s="313" t="s">
        <v>4557</v>
      </c>
      <c r="P333" s="320"/>
      <c r="Q333" s="324" t="s">
        <v>3811</v>
      </c>
      <c r="R333" s="317"/>
      <c r="S333" s="317"/>
      <c r="T333" s="317"/>
      <c r="U333" s="468">
        <f>'Punten per wedstrijd'!I176*1.2</f>
        <v>536.39999999999884</v>
      </c>
      <c r="V333" s="468">
        <f>'Punten per wedstrijd'!I133</f>
        <v>926.69999999999982</v>
      </c>
      <c r="W333" s="313" t="s">
        <v>4556</v>
      </c>
    </row>
    <row r="334" spans="1:24" ht="15.75">
      <c r="A334" s="324" t="s">
        <v>3800</v>
      </c>
      <c r="B334" s="320"/>
      <c r="C334" s="320"/>
      <c r="D334" s="316"/>
      <c r="E334" s="468">
        <f>'Punten per wedstrijd'!H193*1.2</f>
        <v>369.59999999999889</v>
      </c>
      <c r="F334" s="468">
        <f>'Punten per wedstrijd'!H175</f>
        <v>462.60000000000036</v>
      </c>
      <c r="G334" s="313" t="s">
        <v>4556</v>
      </c>
      <c r="H334" s="316"/>
      <c r="I334" s="324" t="s">
        <v>3806</v>
      </c>
      <c r="J334" s="316"/>
      <c r="K334" s="317"/>
      <c r="L334" s="318"/>
      <c r="M334" s="468">
        <f>'Punten per wedstrijd'!H93*1.2</f>
        <v>574.80000000000211</v>
      </c>
      <c r="N334" s="468">
        <f>'Punten per wedstrijd'!H72</f>
        <v>304.49999999999909</v>
      </c>
      <c r="O334" s="313" t="s">
        <v>4555</v>
      </c>
      <c r="P334" s="317"/>
      <c r="Q334" s="324" t="s">
        <v>3810</v>
      </c>
      <c r="R334" s="317"/>
      <c r="S334" s="317"/>
      <c r="T334" s="317"/>
      <c r="U334" s="468">
        <f>'Punten per wedstrijd'!I193*1.2</f>
        <v>573.84000000000196</v>
      </c>
      <c r="V334" s="468">
        <f>'Punten per wedstrijd'!I159</f>
        <v>778.49999999999818</v>
      </c>
      <c r="W334" s="313" t="s">
        <v>4556</v>
      </c>
      <c r="X334" s="28"/>
    </row>
    <row r="335" spans="1:24" ht="15.75">
      <c r="A335" s="322"/>
      <c r="B335" s="320"/>
      <c r="C335" s="320"/>
      <c r="D335" s="316"/>
      <c r="E335" s="468"/>
      <c r="F335" s="468"/>
      <c r="G335" s="311"/>
      <c r="H335" s="316"/>
      <c r="I335" s="315"/>
      <c r="J335" s="316"/>
      <c r="K335" s="317"/>
      <c r="L335" s="318"/>
      <c r="M335" s="500"/>
      <c r="N335" s="500"/>
      <c r="O335" s="314"/>
      <c r="P335" s="317"/>
      <c r="Q335" s="315"/>
      <c r="R335" s="317"/>
      <c r="S335" s="317"/>
      <c r="T335" s="317"/>
      <c r="U335" s="500"/>
      <c r="V335" s="500"/>
      <c r="W335" s="314"/>
      <c r="X335" s="28"/>
    </row>
    <row r="336" spans="1:24" s="39" customFormat="1" ht="15.75">
      <c r="A336" s="319" t="s">
        <v>2212</v>
      </c>
      <c r="B336" s="444"/>
      <c r="C336" s="444"/>
      <c r="D336" s="445"/>
      <c r="E336" s="468"/>
      <c r="F336" s="468"/>
      <c r="G336" s="447" t="s">
        <v>150</v>
      </c>
      <c r="H336" s="444"/>
      <c r="I336" s="319" t="s">
        <v>3536</v>
      </c>
      <c r="J336" s="445"/>
      <c r="K336" s="444"/>
      <c r="L336" s="318"/>
      <c r="M336" s="500"/>
      <c r="N336" s="500"/>
      <c r="O336" s="447" t="s">
        <v>150</v>
      </c>
      <c r="P336" s="444"/>
      <c r="Q336" s="319" t="s">
        <v>3537</v>
      </c>
      <c r="R336" s="444"/>
      <c r="S336" s="444"/>
      <c r="T336" s="444"/>
      <c r="U336" s="500"/>
      <c r="V336" s="500"/>
      <c r="W336" s="447" t="s">
        <v>150</v>
      </c>
    </row>
    <row r="337" spans="1:24" ht="15.75">
      <c r="A337" s="324" t="s">
        <v>4286</v>
      </c>
      <c r="B337" s="320"/>
      <c r="C337" s="320"/>
      <c r="D337" s="316"/>
      <c r="E337" s="468">
        <f>'Punten per wedstrijd'!I72*1.2</f>
        <v>153</v>
      </c>
      <c r="F337" s="468">
        <f>'Punten per wedstrijd'!I7</f>
        <v>373.1</v>
      </c>
      <c r="G337" s="313" t="s">
        <v>4556</v>
      </c>
      <c r="H337" s="320"/>
      <c r="I337" s="324" t="s">
        <v>4287</v>
      </c>
      <c r="J337" s="316"/>
      <c r="K337" s="317"/>
      <c r="L337" s="318"/>
      <c r="M337" s="468">
        <f>'Punten per wedstrijd'!J7*1.2</f>
        <v>470.4</v>
      </c>
      <c r="N337" s="468">
        <f>'Punten per wedstrijd'!J40</f>
        <v>499.2</v>
      </c>
      <c r="O337" s="313" t="s">
        <v>4554</v>
      </c>
      <c r="P337" s="320"/>
      <c r="Q337" s="324" t="s">
        <v>5052</v>
      </c>
      <c r="R337" s="317"/>
      <c r="S337" s="317"/>
      <c r="T337" s="317"/>
      <c r="U337" s="468">
        <f>'Punten per wedstrijd'!K89*1.2</f>
        <v>311.76</v>
      </c>
      <c r="V337" s="468">
        <f>'Punten per wedstrijd'!K7</f>
        <v>446.19999999999993</v>
      </c>
      <c r="W337" s="313" t="s">
        <v>4556</v>
      </c>
      <c r="X337" s="28"/>
    </row>
    <row r="338" spans="1:24" ht="15.75">
      <c r="A338" s="324" t="s">
        <v>4288</v>
      </c>
      <c r="B338" s="320"/>
      <c r="C338" s="320"/>
      <c r="D338" s="316"/>
      <c r="E338" s="468">
        <f>'Punten per wedstrijd'!I40*1.2</f>
        <v>348.59999999999991</v>
      </c>
      <c r="F338" s="468">
        <f>'Punten per wedstrijd'!I29</f>
        <v>144</v>
      </c>
      <c r="G338" s="313" t="s">
        <v>4555</v>
      </c>
      <c r="H338" s="320"/>
      <c r="I338" s="324" t="s">
        <v>4289</v>
      </c>
      <c r="J338" s="316"/>
      <c r="K338" s="317"/>
      <c r="L338" s="318"/>
      <c r="M338" s="468">
        <f>'Punten per wedstrijd'!J93*1.2</f>
        <v>534.6</v>
      </c>
      <c r="N338" s="468">
        <f>'Punten per wedstrijd'!J62</f>
        <v>615.4</v>
      </c>
      <c r="O338" s="313" t="s">
        <v>4554</v>
      </c>
      <c r="P338" s="320"/>
      <c r="Q338" s="324" t="s">
        <v>4290</v>
      </c>
      <c r="R338" s="317"/>
      <c r="S338" s="317"/>
      <c r="T338" s="317"/>
      <c r="U338" s="468">
        <f>'Punten per wedstrijd'!K62*1.2</f>
        <v>361.2</v>
      </c>
      <c r="V338" s="468">
        <f>'Punten per wedstrijd'!K29</f>
        <v>319.29999999999995</v>
      </c>
      <c r="W338" s="313" t="s">
        <v>4557</v>
      </c>
      <c r="X338" s="28"/>
    </row>
    <row r="339" spans="1:24" ht="15.75">
      <c r="A339" s="324" t="s">
        <v>4291</v>
      </c>
      <c r="B339" s="320"/>
      <c r="C339" s="320"/>
      <c r="D339" s="316"/>
      <c r="E339" s="468">
        <f>'Punten per wedstrijd'!I71*1.2</f>
        <v>427.32</v>
      </c>
      <c r="F339" s="468">
        <f>'Punten per wedstrijd'!I48</f>
        <v>389.7</v>
      </c>
      <c r="G339" s="313" t="s">
        <v>4557</v>
      </c>
      <c r="H339" s="320"/>
      <c r="I339" s="324" t="s">
        <v>4292</v>
      </c>
      <c r="J339" s="316"/>
      <c r="K339" s="317"/>
      <c r="L339" s="318"/>
      <c r="M339" s="468">
        <f>'Punten per wedstrijd'!J55*1.2</f>
        <v>602.4</v>
      </c>
      <c r="N339" s="468">
        <f>'Punten per wedstrijd'!J71</f>
        <v>551.20000000000005</v>
      </c>
      <c r="O339" s="313" t="s">
        <v>4557</v>
      </c>
      <c r="P339" s="320"/>
      <c r="Q339" s="324" t="s">
        <v>4293</v>
      </c>
      <c r="R339" s="317"/>
      <c r="S339" s="317"/>
      <c r="T339" s="317"/>
      <c r="U339" s="468">
        <f>'Punten per wedstrijd'!K40*1.2</f>
        <v>259.2</v>
      </c>
      <c r="V339" s="468">
        <f>'Punten per wedstrijd'!K48</f>
        <v>212.8</v>
      </c>
      <c r="W339" s="313" t="s">
        <v>4557</v>
      </c>
      <c r="X339" s="28"/>
    </row>
    <row r="340" spans="1:24" ht="15.75">
      <c r="A340" s="324" t="s">
        <v>5105</v>
      </c>
      <c r="B340" s="320"/>
      <c r="C340" s="320"/>
      <c r="D340" s="316"/>
      <c r="E340" s="468">
        <f>'Punten per wedstrijd'!I62*1.2</f>
        <v>344.52000000000004</v>
      </c>
      <c r="F340" s="468">
        <f>'Punten per wedstrijd'!I55</f>
        <v>604.4</v>
      </c>
      <c r="G340" s="313" t="s">
        <v>4556</v>
      </c>
      <c r="H340" s="320"/>
      <c r="I340" s="324" t="s">
        <v>4294</v>
      </c>
      <c r="J340" s="316"/>
      <c r="K340" s="317"/>
      <c r="L340" s="318"/>
      <c r="M340" s="468">
        <f>'Punten per wedstrijd'!J48*1.2</f>
        <v>696.66000000000008</v>
      </c>
      <c r="N340" s="468">
        <f>'Punten per wedstrijd'!J72</f>
        <v>272.60000000000002</v>
      </c>
      <c r="O340" s="313" t="s">
        <v>4555</v>
      </c>
      <c r="P340" s="320"/>
      <c r="Q340" s="324" t="s">
        <v>4295</v>
      </c>
      <c r="R340" s="317"/>
      <c r="S340" s="317"/>
      <c r="T340" s="317"/>
      <c r="U340" s="468">
        <f>'Punten per wedstrijd'!K71*1.2</f>
        <v>462.23999999999995</v>
      </c>
      <c r="V340" s="468">
        <f>'Punten per wedstrijd'!K72</f>
        <v>169.39999999999998</v>
      </c>
      <c r="W340" s="313" t="s">
        <v>4555</v>
      </c>
      <c r="X340" s="28"/>
    </row>
    <row r="341" spans="1:24" ht="15.75">
      <c r="A341" s="324" t="s">
        <v>4296</v>
      </c>
      <c r="B341" s="320"/>
      <c r="C341" s="320"/>
      <c r="D341" s="316"/>
      <c r="E341" s="468">
        <f>'Punten per wedstrijd'!I89*1.2</f>
        <v>572.75999999999988</v>
      </c>
      <c r="F341" s="468">
        <f>'Punten per wedstrijd'!I93</f>
        <v>265.39999999999998</v>
      </c>
      <c r="G341" s="313" t="s">
        <v>4555</v>
      </c>
      <c r="H341" s="320"/>
      <c r="I341" s="324" t="s">
        <v>4297</v>
      </c>
      <c r="J341" s="316"/>
      <c r="K341" s="317"/>
      <c r="L341" s="318"/>
      <c r="M341" s="468">
        <f>'Punten per wedstrijd'!J29*1.2</f>
        <v>846.11999999999989</v>
      </c>
      <c r="N341" s="468">
        <f>'Punten per wedstrijd'!J89</f>
        <v>433.1</v>
      </c>
      <c r="O341" s="313" t="s">
        <v>4555</v>
      </c>
      <c r="P341" s="320"/>
      <c r="Q341" s="324" t="s">
        <v>4298</v>
      </c>
      <c r="R341" s="317"/>
      <c r="S341" s="317"/>
      <c r="T341" s="317"/>
      <c r="U341" s="468">
        <f>'Punten per wedstrijd'!K55*1.2</f>
        <v>477.96</v>
      </c>
      <c r="V341" s="468">
        <f>'Punten per wedstrijd'!K93</f>
        <v>285.5</v>
      </c>
      <c r="W341" s="313" t="s">
        <v>4555</v>
      </c>
      <c r="X341" s="28"/>
    </row>
    <row r="342" spans="1:24" ht="15.75">
      <c r="A342" s="323"/>
      <c r="B342" s="320"/>
      <c r="C342" s="320"/>
      <c r="D342" s="316"/>
      <c r="E342" s="468"/>
      <c r="F342" s="468"/>
      <c r="G342" s="313"/>
      <c r="H342" s="320"/>
      <c r="I342" s="320"/>
      <c r="J342" s="316"/>
      <c r="K342" s="317"/>
      <c r="L342" s="318"/>
      <c r="M342" s="500"/>
      <c r="N342" s="500"/>
      <c r="O342" s="314"/>
      <c r="P342" s="320"/>
      <c r="Q342" s="316"/>
      <c r="R342" s="317"/>
      <c r="S342" s="317"/>
      <c r="T342" s="317"/>
      <c r="U342" s="500"/>
      <c r="V342" s="500"/>
      <c r="W342" s="314"/>
      <c r="X342" s="28"/>
    </row>
    <row r="343" spans="1:24" s="39" customFormat="1" ht="15.75">
      <c r="A343" s="319" t="s">
        <v>191</v>
      </c>
      <c r="B343" s="444"/>
      <c r="C343" s="444"/>
      <c r="D343" s="445"/>
      <c r="E343" s="468"/>
      <c r="F343" s="468"/>
      <c r="G343" s="447" t="s">
        <v>150</v>
      </c>
      <c r="H343" s="444"/>
      <c r="I343" s="319" t="s">
        <v>192</v>
      </c>
      <c r="J343" s="445"/>
      <c r="K343" s="444"/>
      <c r="L343" s="318"/>
      <c r="M343" s="500"/>
      <c r="N343" s="500"/>
      <c r="O343" s="447" t="s">
        <v>150</v>
      </c>
      <c r="P343" s="444"/>
      <c r="Q343" s="319" t="s">
        <v>195</v>
      </c>
      <c r="R343" s="444"/>
      <c r="S343" s="444"/>
      <c r="T343" s="444"/>
      <c r="U343" s="500"/>
      <c r="V343" s="500"/>
      <c r="W343" s="447" t="s">
        <v>150</v>
      </c>
    </row>
    <row r="344" spans="1:24" ht="15.75">
      <c r="A344" s="324" t="s">
        <v>4299</v>
      </c>
      <c r="B344" s="320"/>
      <c r="C344" s="320"/>
      <c r="D344" s="316"/>
      <c r="E344" s="468">
        <f>'Punten per wedstrijd'!L72*1.2</f>
        <v>50.4</v>
      </c>
      <c r="F344" s="468">
        <f>'Punten per wedstrijd'!L40</f>
        <v>124.1</v>
      </c>
      <c r="G344" s="313" t="s">
        <v>4556</v>
      </c>
      <c r="H344" s="320"/>
      <c r="I344" s="324" t="s">
        <v>4300</v>
      </c>
      <c r="J344" s="316"/>
      <c r="K344" s="317"/>
      <c r="L344" s="318"/>
      <c r="M344" s="468">
        <f>'Punten per wedstrijd'!M55*1.2</f>
        <v>691.19999999999891</v>
      </c>
      <c r="N344" s="468">
        <f>'Punten per wedstrijd'!M7</f>
        <v>442.60000000000036</v>
      </c>
      <c r="O344" s="313" t="s">
        <v>4555</v>
      </c>
      <c r="P344" s="320"/>
      <c r="Q344" s="324" t="s">
        <v>4301</v>
      </c>
      <c r="R344" s="317"/>
      <c r="S344" s="317"/>
      <c r="T344" s="317"/>
      <c r="U344" s="468"/>
      <c r="V344" s="468"/>
      <c r="W344" s="313"/>
      <c r="X344" s="28"/>
    </row>
    <row r="345" spans="1:24" ht="15.75">
      <c r="A345" s="324" t="s">
        <v>4302</v>
      </c>
      <c r="B345" s="320"/>
      <c r="C345" s="320"/>
      <c r="D345" s="316"/>
      <c r="E345" s="468">
        <f>'Punten per wedstrijd'!L29*1.2</f>
        <v>335.88000000000005</v>
      </c>
      <c r="F345" s="468">
        <f>'Punten per wedstrijd'!L55</f>
        <v>384.9</v>
      </c>
      <c r="G345" s="313" t="s">
        <v>4554</v>
      </c>
      <c r="H345" s="320"/>
      <c r="I345" s="324" t="s">
        <v>4303</v>
      </c>
      <c r="J345" s="316"/>
      <c r="K345" s="317"/>
      <c r="L345" s="318"/>
      <c r="M345" s="468">
        <f>'Punten per wedstrijd'!M93*1.2</f>
        <v>523.56000000000131</v>
      </c>
      <c r="N345" s="468">
        <f>'Punten per wedstrijd'!M29</f>
        <v>599.40000000000055</v>
      </c>
      <c r="O345" s="313" t="s">
        <v>4554</v>
      </c>
      <c r="P345" s="320"/>
      <c r="Q345" s="324" t="s">
        <v>5108</v>
      </c>
      <c r="R345" s="317"/>
      <c r="S345" s="317"/>
      <c r="T345" s="317"/>
      <c r="U345" s="468"/>
      <c r="V345" s="468"/>
      <c r="W345" s="313"/>
      <c r="X345" s="28"/>
    </row>
    <row r="346" spans="1:24" ht="15.75">
      <c r="A346" s="324" t="s">
        <v>5106</v>
      </c>
      <c r="B346" s="320"/>
      <c r="C346" s="320"/>
      <c r="D346" s="316"/>
      <c r="E346" s="468">
        <f>'Punten per wedstrijd'!L7*1.2</f>
        <v>457.44</v>
      </c>
      <c r="F346" s="468">
        <f>'Punten per wedstrijd'!L62</f>
        <v>154.80000000000001</v>
      </c>
      <c r="G346" s="313" t="s">
        <v>4555</v>
      </c>
      <c r="H346" s="320"/>
      <c r="I346" s="324" t="s">
        <v>4304</v>
      </c>
      <c r="J346" s="316"/>
      <c r="K346" s="317"/>
      <c r="L346" s="318"/>
      <c r="M346" s="468">
        <f>'Punten per wedstrijd'!M71*1.2</f>
        <v>774.23999999999978</v>
      </c>
      <c r="N346" s="468">
        <f>'Punten per wedstrijd'!M40</f>
        <v>488.5</v>
      </c>
      <c r="O346" s="313" t="s">
        <v>4555</v>
      </c>
      <c r="Q346" s="324" t="s">
        <v>4305</v>
      </c>
      <c r="R346" s="317"/>
      <c r="S346" s="317"/>
      <c r="T346" s="317"/>
      <c r="U346" s="468"/>
      <c r="V346" s="468"/>
      <c r="W346" s="313"/>
      <c r="X346" s="28"/>
    </row>
    <row r="347" spans="1:24" ht="15.75">
      <c r="A347" s="324" t="s">
        <v>4306</v>
      </c>
      <c r="B347" s="320"/>
      <c r="C347" s="320"/>
      <c r="D347" s="316"/>
      <c r="E347" s="468">
        <f>'Punten per wedstrijd'!L93*1.2</f>
        <v>133.19999999999999</v>
      </c>
      <c r="F347" s="468">
        <f>'Punten per wedstrijd'!L71</f>
        <v>375.5</v>
      </c>
      <c r="G347" s="313" t="s">
        <v>4556</v>
      </c>
      <c r="H347" s="320"/>
      <c r="I347" s="324" t="s">
        <v>5107</v>
      </c>
      <c r="J347" s="316"/>
      <c r="K347" s="317"/>
      <c r="L347" s="318"/>
      <c r="M347" s="468">
        <f>'Punten per wedstrijd'!M62*1.2</f>
        <v>627.48000000000172</v>
      </c>
      <c r="N347" s="468">
        <f>'Punten per wedstrijd'!M48</f>
        <v>556.70000000000073</v>
      </c>
      <c r="O347" s="313" t="s">
        <v>4557</v>
      </c>
      <c r="P347" s="320"/>
      <c r="Q347" s="324" t="s">
        <v>4307</v>
      </c>
      <c r="R347" s="317"/>
      <c r="S347" s="317"/>
      <c r="T347" s="317"/>
      <c r="U347" s="468"/>
      <c r="V347" s="468"/>
      <c r="W347" s="313"/>
      <c r="X347" s="28"/>
    </row>
    <row r="348" spans="1:24" ht="15.75">
      <c r="A348" s="324" t="s">
        <v>4308</v>
      </c>
      <c r="B348" s="320"/>
      <c r="C348" s="320"/>
      <c r="D348" s="316"/>
      <c r="E348" s="468">
        <f>'Punten per wedstrijd'!L48*1.2</f>
        <v>319.2</v>
      </c>
      <c r="F348" s="468">
        <f>'Punten per wedstrijd'!L89</f>
        <v>201.5</v>
      </c>
      <c r="G348" s="313" t="s">
        <v>4555</v>
      </c>
      <c r="H348" s="320"/>
      <c r="I348" s="324" t="s">
        <v>4309</v>
      </c>
      <c r="J348" s="316"/>
      <c r="K348" s="317"/>
      <c r="L348" s="318"/>
      <c r="M348" s="468">
        <f>'Punten per wedstrijd'!M89*1.2</f>
        <v>414.96000000000129</v>
      </c>
      <c r="N348" s="468">
        <f>'Punten per wedstrijd'!M72</f>
        <v>309.09999999999945</v>
      </c>
      <c r="O348" s="313" t="s">
        <v>4555</v>
      </c>
      <c r="P348" s="320"/>
      <c r="Q348" s="324" t="s">
        <v>2304</v>
      </c>
      <c r="R348" s="317"/>
      <c r="S348" s="317"/>
      <c r="T348" s="317"/>
      <c r="U348" s="468"/>
      <c r="V348" s="468"/>
      <c r="W348" s="313"/>
      <c r="X348" s="28"/>
    </row>
    <row r="349" spans="1:24" ht="15.75">
      <c r="A349" s="323"/>
      <c r="B349" s="320"/>
      <c r="C349" s="320"/>
      <c r="D349" s="316"/>
      <c r="E349" s="468"/>
      <c r="F349" s="468"/>
      <c r="G349" s="311"/>
      <c r="H349" s="320"/>
      <c r="I349" s="316"/>
      <c r="J349" s="316"/>
      <c r="K349" s="317"/>
      <c r="L349" s="318"/>
      <c r="M349" s="500"/>
      <c r="N349" s="500"/>
      <c r="O349" s="314"/>
      <c r="P349" s="320"/>
      <c r="Q349" s="317"/>
      <c r="R349" s="317"/>
      <c r="S349" s="317"/>
      <c r="T349" s="317"/>
      <c r="U349" s="500"/>
      <c r="V349" s="500"/>
      <c r="W349" s="314"/>
      <c r="X349" s="28"/>
    </row>
    <row r="350" spans="1:24" s="39" customFormat="1" ht="15.75">
      <c r="A350" s="319" t="s">
        <v>193</v>
      </c>
      <c r="B350" s="444"/>
      <c r="C350" s="444"/>
      <c r="D350" s="445"/>
      <c r="E350" s="468"/>
      <c r="F350" s="468"/>
      <c r="G350" s="447" t="s">
        <v>150</v>
      </c>
      <c r="H350" s="444"/>
      <c r="I350" s="319" t="s">
        <v>194</v>
      </c>
      <c r="J350" s="445"/>
      <c r="K350" s="444"/>
      <c r="L350" s="318"/>
      <c r="M350" s="500"/>
      <c r="N350" s="500"/>
      <c r="O350" s="447" t="s">
        <v>150</v>
      </c>
      <c r="P350" s="444"/>
      <c r="Q350" s="319" t="s">
        <v>176</v>
      </c>
      <c r="R350" s="444"/>
      <c r="S350" s="444"/>
      <c r="T350" s="444"/>
      <c r="U350" s="500"/>
      <c r="V350" s="500"/>
      <c r="W350" s="447" t="s">
        <v>150</v>
      </c>
    </row>
    <row r="351" spans="1:24" ht="15.75">
      <c r="A351" s="324" t="s">
        <v>4310</v>
      </c>
      <c r="B351" s="320"/>
      <c r="C351" s="320"/>
      <c r="D351" s="316"/>
      <c r="E351" s="468"/>
      <c r="F351" s="468"/>
      <c r="G351" s="313"/>
      <c r="H351" s="320"/>
      <c r="I351" s="324" t="s">
        <v>4311</v>
      </c>
      <c r="J351" s="316"/>
      <c r="K351" s="317"/>
      <c r="L351" s="318"/>
      <c r="M351" s="468"/>
      <c r="N351" s="468"/>
      <c r="O351" s="313"/>
      <c r="P351" s="320"/>
      <c r="Q351" s="324" t="s">
        <v>4312</v>
      </c>
      <c r="R351" s="317"/>
      <c r="S351" s="317"/>
      <c r="T351" s="317"/>
      <c r="U351" s="468"/>
      <c r="V351" s="468"/>
      <c r="W351" s="313"/>
      <c r="X351" s="28"/>
    </row>
    <row r="352" spans="1:24" ht="15.75">
      <c r="A352" s="324" t="s">
        <v>2223</v>
      </c>
      <c r="B352" s="320"/>
      <c r="C352" s="320"/>
      <c r="D352" s="316"/>
      <c r="E352" s="468"/>
      <c r="F352" s="468"/>
      <c r="G352" s="313"/>
      <c r="H352" s="320"/>
      <c r="I352" s="324" t="s">
        <v>4313</v>
      </c>
      <c r="J352" s="316"/>
      <c r="K352" s="317"/>
      <c r="L352" s="318"/>
      <c r="M352" s="468"/>
      <c r="N352" s="468"/>
      <c r="O352" s="313"/>
      <c r="P352" s="320"/>
      <c r="Q352" s="324" t="s">
        <v>4314</v>
      </c>
      <c r="R352" s="317"/>
      <c r="S352" s="317"/>
      <c r="T352" s="317"/>
      <c r="U352" s="468"/>
      <c r="V352" s="468"/>
      <c r="W352" s="313"/>
      <c r="X352" s="28"/>
    </row>
    <row r="353" spans="1:26" ht="15.75">
      <c r="A353" s="324" t="s">
        <v>4315</v>
      </c>
      <c r="B353" s="320"/>
      <c r="C353" s="320"/>
      <c r="D353" s="316"/>
      <c r="E353" s="468"/>
      <c r="F353" s="468"/>
      <c r="G353" s="313"/>
      <c r="H353" s="320"/>
      <c r="I353" s="324" t="s">
        <v>4316</v>
      </c>
      <c r="J353" s="316"/>
      <c r="K353" s="317"/>
      <c r="L353" s="318"/>
      <c r="M353" s="468"/>
      <c r="N353" s="468"/>
      <c r="O353" s="313"/>
      <c r="P353" s="320"/>
      <c r="Q353" s="324" t="s">
        <v>5110</v>
      </c>
      <c r="R353" s="317"/>
      <c r="S353" s="317"/>
      <c r="T353" s="317"/>
      <c r="U353" s="468"/>
      <c r="V353" s="468"/>
      <c r="W353" s="313"/>
      <c r="X353" s="28"/>
    </row>
    <row r="354" spans="1:26" ht="15.75">
      <c r="A354" s="324" t="s">
        <v>4317</v>
      </c>
      <c r="B354" s="320"/>
      <c r="C354" s="320"/>
      <c r="D354" s="316"/>
      <c r="E354" s="468"/>
      <c r="F354" s="468"/>
      <c r="G354" s="313"/>
      <c r="H354" s="320"/>
      <c r="I354" s="324" t="s">
        <v>5109</v>
      </c>
      <c r="J354" s="316"/>
      <c r="K354" s="317"/>
      <c r="L354" s="318"/>
      <c r="M354" s="468"/>
      <c r="N354" s="468"/>
      <c r="O354" s="313"/>
      <c r="P354" s="320"/>
      <c r="Q354" s="324" t="s">
        <v>4318</v>
      </c>
      <c r="R354" s="317"/>
      <c r="S354" s="317"/>
      <c r="T354" s="317"/>
      <c r="U354" s="468"/>
      <c r="V354" s="468"/>
      <c r="W354" s="313"/>
      <c r="X354" s="28"/>
    </row>
    <row r="355" spans="1:26" ht="15.75">
      <c r="A355" s="324" t="s">
        <v>5104</v>
      </c>
      <c r="B355" s="320"/>
      <c r="C355" s="320"/>
      <c r="D355" s="316"/>
      <c r="E355" s="468"/>
      <c r="F355" s="468"/>
      <c r="G355" s="313"/>
      <c r="H355" s="316"/>
      <c r="I355" s="324" t="s">
        <v>4319</v>
      </c>
      <c r="J355" s="316"/>
      <c r="K355" s="317"/>
      <c r="L355" s="318"/>
      <c r="M355" s="468"/>
      <c r="N355" s="468"/>
      <c r="O355" s="313"/>
      <c r="P355" s="317"/>
      <c r="Q355" s="324" t="s">
        <v>4320</v>
      </c>
      <c r="R355" s="317"/>
      <c r="S355" s="317"/>
      <c r="T355" s="317"/>
      <c r="U355" s="468"/>
      <c r="V355" s="468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3463</v>
      </c>
      <c r="E358" s="435" t="s">
        <v>3464</v>
      </c>
      <c r="F358" s="435" t="s">
        <v>843</v>
      </c>
      <c r="G358" s="435" t="s">
        <v>2528</v>
      </c>
      <c r="H358" s="435" t="s">
        <v>2197</v>
      </c>
      <c r="I358" s="435" t="s">
        <v>2199</v>
      </c>
      <c r="J358" s="435" t="s">
        <v>2198</v>
      </c>
      <c r="K358" s="435" t="s">
        <v>2200</v>
      </c>
      <c r="L358" s="435" t="s">
        <v>2201</v>
      </c>
      <c r="M358" s="435" t="s">
        <v>2202</v>
      </c>
      <c r="N358" s="435" t="s">
        <v>2203</v>
      </c>
      <c r="O358" s="435" t="s">
        <v>2204</v>
      </c>
      <c r="P358" s="435" t="s">
        <v>2205</v>
      </c>
      <c r="Q358" s="435" t="s">
        <v>2206</v>
      </c>
      <c r="R358" s="435" t="s">
        <v>2207</v>
      </c>
      <c r="S358" s="435" t="s">
        <v>2184</v>
      </c>
      <c r="T358" s="435" t="s">
        <v>2208</v>
      </c>
      <c r="U358" s="435" t="s">
        <v>2209</v>
      </c>
      <c r="V358" s="202" t="s">
        <v>40</v>
      </c>
      <c r="W358" s="28"/>
      <c r="X358" s="28"/>
      <c r="Y358" s="28"/>
      <c r="Z358" s="28"/>
    </row>
    <row r="359" spans="1:26" ht="15.75">
      <c r="A359" s="63" t="s">
        <v>3595</v>
      </c>
      <c r="D359" s="50">
        <v>0</v>
      </c>
      <c r="E359" s="50">
        <v>3</v>
      </c>
      <c r="F359" s="50">
        <v>0</v>
      </c>
      <c r="G359" s="50">
        <v>3</v>
      </c>
      <c r="H359" s="50">
        <v>0</v>
      </c>
      <c r="I359" s="50">
        <v>0</v>
      </c>
      <c r="J359" s="50">
        <v>2</v>
      </c>
      <c r="K359" s="50">
        <v>3</v>
      </c>
      <c r="L359" s="50">
        <v>3</v>
      </c>
      <c r="M359" s="50">
        <v>3</v>
      </c>
      <c r="N359" s="50">
        <v>2</v>
      </c>
      <c r="O359" s="1">
        <v>3</v>
      </c>
      <c r="P359" s="50">
        <v>2</v>
      </c>
      <c r="Q359" s="50">
        <v>3</v>
      </c>
      <c r="R359" s="50"/>
      <c r="S359" s="50"/>
      <c r="T359" s="50"/>
      <c r="U359" s="50"/>
      <c r="V359" s="303">
        <f>SUM(D359:U359)</f>
        <v>27</v>
      </c>
      <c r="W359" s="503">
        <f>SUM($E$319,$N$318,$V$320,$E$324,$N$323,$U$323,$F$333,$M$332,$V$334,$F$340,$M$339,$U$341,$F$345,$M$344,$V$344,$E$354,$N$353,$U$355)</f>
        <v>7644.2799999999897</v>
      </c>
      <c r="X359" s="50" t="s">
        <v>85</v>
      </c>
      <c r="Y359" s="28"/>
      <c r="Z359" s="28"/>
    </row>
    <row r="360" spans="1:26" ht="15.75">
      <c r="A360" s="63" t="s">
        <v>3596</v>
      </c>
      <c r="D360" s="50">
        <v>0</v>
      </c>
      <c r="E360" s="50">
        <v>0</v>
      </c>
      <c r="F360" s="50">
        <v>0</v>
      </c>
      <c r="G360" s="50">
        <v>3</v>
      </c>
      <c r="H360" s="50">
        <v>3</v>
      </c>
      <c r="I360" s="50">
        <v>1</v>
      </c>
      <c r="J360" s="50">
        <v>3</v>
      </c>
      <c r="K360" s="50">
        <v>2</v>
      </c>
      <c r="L360" s="50">
        <v>2</v>
      </c>
      <c r="M360" s="50">
        <v>2</v>
      </c>
      <c r="N360" s="50">
        <v>1</v>
      </c>
      <c r="O360" s="50">
        <v>3</v>
      </c>
      <c r="P360" s="50">
        <v>3</v>
      </c>
      <c r="Q360" s="50">
        <v>3</v>
      </c>
      <c r="R360" s="50"/>
      <c r="S360" s="50"/>
      <c r="T360" s="50"/>
      <c r="U360" s="50"/>
      <c r="V360" s="303">
        <f>SUM(D360:U360)</f>
        <v>26</v>
      </c>
      <c r="W360" s="503">
        <f>SUM($F$318,$M$318,$V$319,$E$326,$N$325,$U$325,$F$334,$N$330,$U$332,$E$339,$N$339,$U$340,$F$347,$M$346,$V$346,$E$355,$M$351,$V$353)</f>
        <v>7543.6000000000022</v>
      </c>
      <c r="X360" s="50" t="s">
        <v>86</v>
      </c>
      <c r="Y360" s="28"/>
      <c r="Z360" s="28"/>
    </row>
    <row r="361" spans="1:26" ht="15.75">
      <c r="A361" s="524" t="s">
        <v>2271</v>
      </c>
      <c r="B361" s="531"/>
      <c r="C361" s="531"/>
      <c r="D361" s="532">
        <v>3</v>
      </c>
      <c r="E361" s="532">
        <v>1</v>
      </c>
      <c r="F361" s="532">
        <v>2</v>
      </c>
      <c r="G361" s="532">
        <v>0</v>
      </c>
      <c r="H361" s="532">
        <v>2</v>
      </c>
      <c r="I361" s="532">
        <v>3</v>
      </c>
      <c r="J361" s="532">
        <v>2</v>
      </c>
      <c r="K361" s="532">
        <v>0</v>
      </c>
      <c r="L361" s="532">
        <v>3</v>
      </c>
      <c r="M361" s="532">
        <v>1</v>
      </c>
      <c r="N361" s="532">
        <v>3</v>
      </c>
      <c r="O361" s="532">
        <v>1</v>
      </c>
      <c r="P361" s="532">
        <v>3</v>
      </c>
      <c r="Q361" s="532">
        <v>1</v>
      </c>
      <c r="R361" s="532"/>
      <c r="S361" s="532"/>
      <c r="T361" s="532"/>
      <c r="U361" s="532"/>
      <c r="V361" s="533">
        <f>SUM(D361:U361)</f>
        <v>25</v>
      </c>
      <c r="W361" s="534">
        <f>SUM($E$318,$N$319,$U$318,$F$327,$M$326,$V$323,$E$332,$N$331,$U$331,$F$339,$M$340,$V$339,$E$348,$N$347,$U$344,$F$353,$M$352,$V$352)</f>
        <v>8115.069999999997</v>
      </c>
      <c r="X361" s="50" t="s">
        <v>87</v>
      </c>
      <c r="Y361" s="28"/>
      <c r="Z361" s="28"/>
    </row>
    <row r="362" spans="1:26" ht="15.75">
      <c r="A362" s="494" t="s">
        <v>2245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/>
      <c r="S362" s="330"/>
      <c r="T362" s="330"/>
      <c r="U362" s="330"/>
      <c r="V362" s="329">
        <f>SUM(D362:U362)</f>
        <v>25</v>
      </c>
      <c r="W362" s="504">
        <f>SUM($E$317,$N$320,$U$317,$F$324,$M$324,$V$325,$F$330,$M$331,$V$333,$F$338,$M$341,$V$338,$E$345,$N$345,$U$346,$E$351,$N$352,$U$354)</f>
        <v>8046.6000000000022</v>
      </c>
      <c r="X362" s="50" t="s">
        <v>88</v>
      </c>
      <c r="Y362" s="28"/>
      <c r="Z362" s="28"/>
    </row>
    <row r="363" spans="1:26" ht="15.75">
      <c r="A363" s="28" t="s">
        <v>3594</v>
      </c>
      <c r="D363" s="50">
        <v>0</v>
      </c>
      <c r="E363" s="50">
        <v>3</v>
      </c>
      <c r="F363" s="50">
        <v>1</v>
      </c>
      <c r="G363" s="50">
        <v>3</v>
      </c>
      <c r="H363" s="50">
        <v>0</v>
      </c>
      <c r="I363" s="50">
        <v>2</v>
      </c>
      <c r="J363" s="50">
        <v>3</v>
      </c>
      <c r="K363" s="50">
        <v>0</v>
      </c>
      <c r="L363" s="50">
        <v>3</v>
      </c>
      <c r="M363" s="1">
        <v>3</v>
      </c>
      <c r="N363" s="50">
        <v>2</v>
      </c>
      <c r="O363" s="50">
        <v>2</v>
      </c>
      <c r="P363" s="50">
        <v>3</v>
      </c>
      <c r="Q363" s="50">
        <v>0</v>
      </c>
      <c r="R363" s="50"/>
      <c r="S363" s="50"/>
      <c r="T363" s="50"/>
      <c r="U363" s="50"/>
      <c r="V363" s="303">
        <f>SUM(D363:U363)</f>
        <v>25</v>
      </c>
      <c r="W363" s="503">
        <f>SUM($F$317,$M$316,$V$318,$E$323,$M$325,$V$326,$E$331,$N$332,$U$330,$E$338,$N$337,$U$339,$F$344,$N$346,$U$347,$F$352,$M$353,$V$351)</f>
        <v>6874.4</v>
      </c>
      <c r="X363" s="28"/>
      <c r="Y363" s="28"/>
      <c r="Z363" s="28"/>
    </row>
    <row r="364" spans="1:26" ht="15.75">
      <c r="A364" s="281" t="s">
        <v>2303</v>
      </c>
      <c r="D364" s="50">
        <v>1</v>
      </c>
      <c r="E364" s="50">
        <v>0</v>
      </c>
      <c r="F364" s="50">
        <v>3</v>
      </c>
      <c r="G364" s="50">
        <v>1</v>
      </c>
      <c r="H364" s="50">
        <v>3</v>
      </c>
      <c r="I364" s="50">
        <v>1</v>
      </c>
      <c r="J364" s="50">
        <v>3</v>
      </c>
      <c r="K364" s="50">
        <v>1</v>
      </c>
      <c r="L364" s="50">
        <v>0</v>
      </c>
      <c r="M364" s="50">
        <v>3</v>
      </c>
      <c r="N364" s="50">
        <v>1</v>
      </c>
      <c r="O364" s="50">
        <v>3</v>
      </c>
      <c r="P364" s="50">
        <v>3</v>
      </c>
      <c r="Q364" s="50">
        <v>0</v>
      </c>
      <c r="R364" s="50"/>
      <c r="S364" s="50"/>
      <c r="T364" s="50"/>
      <c r="U364" s="50"/>
      <c r="V364" s="303">
        <f>SUM(D364:U364)</f>
        <v>23</v>
      </c>
      <c r="W364" s="503">
        <f>SUM($E$316,$N$316,$U$316,$F$325,$M$323,$V$327,$E$330,$M$330,$V$331,$F$337,$M$337,$V$337,$E$346,$N$344,$U$348,$F$351,$N$351,$U$352)</f>
        <v>7423.2999999999993</v>
      </c>
      <c r="X364" s="28"/>
      <c r="Y364" s="28"/>
      <c r="Z364" s="28"/>
    </row>
    <row r="365" spans="1:26" ht="15.75">
      <c r="A365" s="28" t="s">
        <v>2253</v>
      </c>
      <c r="D365" s="50">
        <v>3</v>
      </c>
      <c r="E365" s="50">
        <v>1</v>
      </c>
      <c r="F365" s="50">
        <v>2</v>
      </c>
      <c r="G365" s="50">
        <v>2</v>
      </c>
      <c r="H365" s="50">
        <v>1</v>
      </c>
      <c r="I365" s="50">
        <v>2</v>
      </c>
      <c r="J365" s="50">
        <v>0</v>
      </c>
      <c r="K365" s="50">
        <v>2</v>
      </c>
      <c r="L365" s="50">
        <v>1</v>
      </c>
      <c r="M365" s="50">
        <v>0</v>
      </c>
      <c r="N365" s="1">
        <v>2</v>
      </c>
      <c r="O365" s="50">
        <v>2</v>
      </c>
      <c r="P365" s="50">
        <v>0</v>
      </c>
      <c r="Q365" s="50">
        <v>2</v>
      </c>
      <c r="R365" s="50"/>
      <c r="S365" s="50"/>
      <c r="T365" s="50"/>
      <c r="U365" s="50"/>
      <c r="V365" s="303">
        <f>SUM(D365:U365)</f>
        <v>20</v>
      </c>
      <c r="W365" s="503">
        <f>SUM($F$319,$M$317,$V$317,$E$325,$N$326,$U$324,$F$331,$M$333,$V$332,$E$340,$N$338,$U$338,$F$346,$M$347,$V$345,$E$352,$N$354,$U$353)</f>
        <v>6895.4999999999991</v>
      </c>
      <c r="X365" s="28"/>
      <c r="Y365" s="28"/>
      <c r="Z365" s="28"/>
    </row>
    <row r="366" spans="1:26" ht="15.75">
      <c r="A366" s="28" t="s">
        <v>2299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/>
      <c r="S366" s="50"/>
      <c r="T366" s="50"/>
      <c r="U366" s="50"/>
      <c r="V366" s="303">
        <f>SUM(D366:U366)</f>
        <v>15</v>
      </c>
      <c r="W366" s="503">
        <f>SUM($E$320,$N$317,$U$320,$F$326,$N$324,$U$327,$F$332,$M$334,$V$330,$F$341,$M$338,$V$341,$E$347,$M$345,$V$348,$E$353,$N$355,$U$351)</f>
        <v>6931.5599999999995</v>
      </c>
      <c r="X366" s="28"/>
      <c r="Y366" s="28"/>
      <c r="Z366" s="28"/>
    </row>
    <row r="367" spans="1:26" ht="15.75">
      <c r="A367" s="293" t="s">
        <v>2312</v>
      </c>
      <c r="D367" s="50">
        <v>1</v>
      </c>
      <c r="E367" s="50">
        <v>0</v>
      </c>
      <c r="F367" s="50">
        <v>0</v>
      </c>
      <c r="G367" s="50">
        <v>3</v>
      </c>
      <c r="H367" s="50">
        <v>0</v>
      </c>
      <c r="I367" s="50">
        <v>1</v>
      </c>
      <c r="J367" s="50">
        <v>0</v>
      </c>
      <c r="K367" s="50">
        <v>1</v>
      </c>
      <c r="L367" s="50">
        <v>0</v>
      </c>
      <c r="M367" s="50">
        <v>3</v>
      </c>
      <c r="N367" s="50">
        <v>0</v>
      </c>
      <c r="O367" s="50">
        <v>0</v>
      </c>
      <c r="P367" s="50">
        <v>0</v>
      </c>
      <c r="Q367" s="50">
        <v>3</v>
      </c>
      <c r="R367" s="50"/>
      <c r="S367" s="50"/>
      <c r="T367" s="50"/>
      <c r="U367" s="50"/>
      <c r="V367" s="303">
        <f>SUM(D367:U367)</f>
        <v>12</v>
      </c>
      <c r="W367" s="503">
        <f>SUM($F$320,$M$320,$V$316,$E$327,$N$327,$U$326,$E$334,$N$333,$U$334,$E$341,$N$341,$U$337,$F$348,$M$348,$V$347,$F$355,$M$354,$V$355)</f>
        <v>5739.3000000000011</v>
      </c>
      <c r="X367" s="28"/>
      <c r="Y367" s="28"/>
      <c r="Z367" s="28"/>
    </row>
    <row r="368" spans="1:26" ht="15.75">
      <c r="A368" s="293" t="s">
        <v>2285</v>
      </c>
      <c r="D368" s="50">
        <v>2</v>
      </c>
      <c r="E368" s="50">
        <v>2</v>
      </c>
      <c r="F368" s="50">
        <v>3</v>
      </c>
      <c r="G368" s="50">
        <v>0</v>
      </c>
      <c r="H368" s="50">
        <v>3</v>
      </c>
      <c r="I368" s="50">
        <v>1</v>
      </c>
      <c r="J368" s="50">
        <v>1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  <c r="Q368" s="50">
        <v>0</v>
      </c>
      <c r="R368" s="50"/>
      <c r="S368" s="50"/>
      <c r="T368" s="50"/>
      <c r="U368" s="50"/>
      <c r="V368" s="303">
        <f>SUM(D368:U368)</f>
        <v>12</v>
      </c>
      <c r="W368" s="503">
        <f>SUM($F$316,$M$319,$U$319,$F$323,$M$327,$V$324,$E$333,$N$334,$U$333,$E$337,$N$340,$V$340,$E$344,$N$348,$U$345,$F$354,$M$355,$V$354)</f>
        <v>5191.9199999999973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9">
        <f>SUM(W359:W368)</f>
        <v>70405.529999999984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9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2167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4"/>
      <c r="C375" s="444"/>
      <c r="D375" s="445"/>
      <c r="E375" s="445"/>
      <c r="F375" s="445"/>
      <c r="G375" s="318" t="s">
        <v>150</v>
      </c>
      <c r="H375" s="444"/>
      <c r="I375" s="319" t="s">
        <v>184</v>
      </c>
      <c r="J375" s="445"/>
      <c r="K375" s="444"/>
      <c r="L375" s="318"/>
      <c r="M375" s="444"/>
      <c r="N375" s="444"/>
      <c r="O375" s="318" t="s">
        <v>150</v>
      </c>
      <c r="P375" s="444"/>
      <c r="Q375" s="319" t="s">
        <v>843</v>
      </c>
      <c r="R375" s="444"/>
      <c r="S375" s="444"/>
      <c r="T375" s="444"/>
      <c r="U375" s="444"/>
      <c r="V375" s="444"/>
      <c r="W375" s="318" t="s">
        <v>150</v>
      </c>
    </row>
    <row r="376" spans="1:26" ht="15.75">
      <c r="A376" s="324" t="s">
        <v>2237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4554</v>
      </c>
      <c r="H376" s="320"/>
      <c r="I376" s="324" t="s">
        <v>3812</v>
      </c>
      <c r="J376" s="316"/>
      <c r="K376" s="317"/>
      <c r="L376" s="318"/>
      <c r="M376" s="468">
        <f>'Punten per wedstrijd'!E13*1.2</f>
        <v>288.83999999999992</v>
      </c>
      <c r="N376" s="468">
        <f>'Punten per wedstrijd'!E6</f>
        <v>83.300000000000068</v>
      </c>
      <c r="O376" s="313" t="s">
        <v>4555</v>
      </c>
      <c r="P376" s="320"/>
      <c r="Q376" s="324" t="s">
        <v>2233</v>
      </c>
      <c r="R376" s="317"/>
      <c r="S376" s="317"/>
      <c r="T376" s="317"/>
      <c r="U376" s="468">
        <f>'Punten per wedstrijd'!F110*1.2</f>
        <v>612.48000000000093</v>
      </c>
      <c r="V376" s="468">
        <f>'Punten per wedstrijd'!F199</f>
        <v>412.89999999999918</v>
      </c>
      <c r="W376" s="313" t="s">
        <v>4555</v>
      </c>
    </row>
    <row r="377" spans="1:26" ht="15.75">
      <c r="A377" s="324" t="s">
        <v>3637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4557</v>
      </c>
      <c r="H377" s="320"/>
      <c r="I377" s="324" t="s">
        <v>4523</v>
      </c>
      <c r="J377" s="316"/>
      <c r="K377" s="317"/>
      <c r="L377" s="318"/>
      <c r="M377" s="468">
        <f>'Punten per wedstrijd'!E49*1.2</f>
        <v>309.96000000000009</v>
      </c>
      <c r="N377" s="468">
        <f>'Punten per wedstrijd'!E98</f>
        <v>230.80000000000007</v>
      </c>
      <c r="O377" s="313" t="s">
        <v>4555</v>
      </c>
      <c r="P377" s="320"/>
      <c r="Q377" s="324" t="s">
        <v>4524</v>
      </c>
      <c r="R377" s="317"/>
      <c r="S377" s="317"/>
      <c r="T377" s="317"/>
      <c r="U377" s="468">
        <f>'Punten per wedstrijd'!F114*1.2</f>
        <v>378.59999999999945</v>
      </c>
      <c r="V377" s="468">
        <f>'Punten per wedstrijd'!F153</f>
        <v>663.79999999999927</v>
      </c>
      <c r="W377" s="313" t="s">
        <v>4556</v>
      </c>
    </row>
    <row r="378" spans="1:26" ht="15.75">
      <c r="A378" s="324" t="s">
        <v>3638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4555</v>
      </c>
      <c r="H378" s="320"/>
      <c r="I378" s="324" t="s">
        <v>3813</v>
      </c>
      <c r="J378" s="316"/>
      <c r="K378" s="317"/>
      <c r="L378" s="318"/>
      <c r="M378" s="468">
        <f>'Punten per wedstrijd'!E74*1.2</f>
        <v>479.40000000000009</v>
      </c>
      <c r="N378" s="468">
        <f>'Punten per wedstrijd'!E25</f>
        <v>143.39999999999998</v>
      </c>
      <c r="O378" s="313" t="s">
        <v>4555</v>
      </c>
      <c r="P378" s="320"/>
      <c r="Q378" s="324" t="s">
        <v>2302</v>
      </c>
      <c r="R378" s="317"/>
      <c r="S378" s="317"/>
      <c r="T378" s="317"/>
      <c r="U378" s="468">
        <f>'Punten per wedstrijd'!F125*1.2</f>
        <v>566.87999999999897</v>
      </c>
      <c r="V378" s="468">
        <f>'Punten per wedstrijd'!F117</f>
        <v>445.90000000000009</v>
      </c>
      <c r="W378" s="313" t="s">
        <v>4555</v>
      </c>
    </row>
    <row r="379" spans="1:26" ht="15.75">
      <c r="A379" s="324" t="s">
        <v>4525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4555</v>
      </c>
      <c r="H379" s="320"/>
      <c r="I379" s="324" t="s">
        <v>3814</v>
      </c>
      <c r="J379" s="316"/>
      <c r="K379" s="317"/>
      <c r="L379" s="318"/>
      <c r="M379" s="468">
        <f>'Punten per wedstrijd'!E88*1.2</f>
        <v>186.4800000000001</v>
      </c>
      <c r="N379" s="468">
        <f>'Punten per wedstrijd'!E21</f>
        <v>207.10000000000002</v>
      </c>
      <c r="O379" s="313" t="s">
        <v>4554</v>
      </c>
      <c r="P379" s="320"/>
      <c r="Q379" s="324" t="s">
        <v>2238</v>
      </c>
      <c r="R379" s="317"/>
      <c r="S379" s="317"/>
      <c r="T379" s="317"/>
      <c r="U379" s="468">
        <f>'Punten per wedstrijd'!F192*1.2</f>
        <v>595.43999999999926</v>
      </c>
      <c r="V379" s="468">
        <f>'Punten per wedstrijd'!F178</f>
        <v>727</v>
      </c>
      <c r="W379" s="313" t="s">
        <v>4554</v>
      </c>
    </row>
    <row r="380" spans="1:26" ht="15.75">
      <c r="A380" s="324" t="s">
        <v>3639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4554</v>
      </c>
      <c r="H380" s="320"/>
      <c r="I380" s="324" t="s">
        <v>3815</v>
      </c>
      <c r="J380" s="316"/>
      <c r="K380" s="317"/>
      <c r="L380" s="318"/>
      <c r="M380" s="468">
        <f>'Punten per wedstrijd'!E95*1.2</f>
        <v>289.80000000000024</v>
      </c>
      <c r="N380" s="468">
        <f>'Punten per wedstrijd'!E10</f>
        <v>109.9000000000002</v>
      </c>
      <c r="O380" s="313" t="s">
        <v>4555</v>
      </c>
      <c r="P380" s="320"/>
      <c r="Q380" s="324" t="s">
        <v>3816</v>
      </c>
      <c r="R380" s="317"/>
      <c r="S380" s="317"/>
      <c r="T380" s="317"/>
      <c r="U380" s="468">
        <f>'Punten per wedstrijd'!F202*1.2</f>
        <v>594.95999999999992</v>
      </c>
      <c r="V380" s="468">
        <f>'Punten per wedstrijd'!F129</f>
        <v>630.19999999999982</v>
      </c>
      <c r="W380" s="313" t="s">
        <v>4554</v>
      </c>
    </row>
    <row r="381" spans="1:26" ht="15.75">
      <c r="A381" s="323"/>
      <c r="B381" s="320"/>
      <c r="C381" s="320"/>
      <c r="D381" s="316"/>
      <c r="E381" s="468"/>
      <c r="F381" s="468"/>
      <c r="G381" s="313"/>
      <c r="H381" s="320"/>
      <c r="I381" s="320"/>
      <c r="J381" s="316"/>
      <c r="K381" s="317"/>
      <c r="L381" s="318"/>
      <c r="M381" s="500"/>
      <c r="N381" s="500"/>
      <c r="O381" s="314"/>
      <c r="P381" s="320"/>
      <c r="Q381" s="316"/>
      <c r="R381" s="317"/>
      <c r="S381" s="317"/>
      <c r="T381" s="317"/>
      <c r="U381" s="500"/>
      <c r="V381" s="500"/>
      <c r="W381" s="314"/>
    </row>
    <row r="382" spans="1:26" s="39" customFormat="1" ht="15.75">
      <c r="A382" s="319" t="s">
        <v>2210</v>
      </c>
      <c r="B382" s="444"/>
      <c r="C382" s="444"/>
      <c r="D382" s="445"/>
      <c r="E382" s="468"/>
      <c r="F382" s="468"/>
      <c r="G382" s="447" t="s">
        <v>150</v>
      </c>
      <c r="H382" s="444"/>
      <c r="I382" s="319" t="s">
        <v>186</v>
      </c>
      <c r="J382" s="445"/>
      <c r="K382" s="444"/>
      <c r="L382" s="318"/>
      <c r="M382" s="500"/>
      <c r="N382" s="500"/>
      <c r="O382" s="447" t="s">
        <v>150</v>
      </c>
      <c r="P382" s="444"/>
      <c r="Q382" s="319" t="s">
        <v>175</v>
      </c>
      <c r="R382" s="444"/>
      <c r="S382" s="444"/>
      <c r="T382" s="444"/>
      <c r="U382" s="500"/>
      <c r="V382" s="500"/>
      <c r="W382" s="447" t="s">
        <v>150</v>
      </c>
    </row>
    <row r="383" spans="1:26" ht="15.75">
      <c r="A383" s="324" t="s">
        <v>3817</v>
      </c>
      <c r="B383" s="320"/>
      <c r="C383" s="320"/>
      <c r="D383" s="316"/>
      <c r="E383" s="468">
        <f>'Punten per wedstrijd'!F13*1.2</f>
        <v>120.48000000000064</v>
      </c>
      <c r="F383" s="468">
        <f>'Punten per wedstrijd'!F88</f>
        <v>222.79999999999973</v>
      </c>
      <c r="G383" s="313" t="s">
        <v>4556</v>
      </c>
      <c r="H383" s="320"/>
      <c r="I383" s="324" t="s">
        <v>3821</v>
      </c>
      <c r="J383" s="316"/>
      <c r="K383" s="317"/>
      <c r="L383" s="318"/>
      <c r="M383" s="468">
        <f>'Punten per wedstrijd'!G6*1.2</f>
        <v>140.52000000000044</v>
      </c>
      <c r="N383" s="468">
        <f>'Punten per wedstrijd'!G25</f>
        <v>389.69999999999936</v>
      </c>
      <c r="O383" s="313" t="s">
        <v>4556</v>
      </c>
      <c r="P383" s="320"/>
      <c r="Q383" s="324" t="s">
        <v>3824</v>
      </c>
      <c r="R383" s="317"/>
      <c r="S383" s="317"/>
      <c r="T383" s="317"/>
      <c r="U383" s="468">
        <f>'Punten per wedstrijd'!G129*1.2</f>
        <v>941.75999999999965</v>
      </c>
      <c r="V383" s="468">
        <f>'Punten per wedstrijd'!G125</f>
        <v>741.59999999999854</v>
      </c>
      <c r="W383" s="313" t="s">
        <v>4555</v>
      </c>
    </row>
    <row r="384" spans="1:26" ht="15.75">
      <c r="A384" s="324" t="s">
        <v>3818</v>
      </c>
      <c r="B384" s="320"/>
      <c r="C384" s="320"/>
      <c r="D384" s="316"/>
      <c r="E384" s="468">
        <f>'Punten per wedstrijd'!F25*1.2</f>
        <v>266.0400000000003</v>
      </c>
      <c r="F384" s="468">
        <f>'Punten per wedstrijd'!F10</f>
        <v>239.69999999999982</v>
      </c>
      <c r="G384" s="313" t="s">
        <v>4557</v>
      </c>
      <c r="H384" s="320"/>
      <c r="I384" s="324" t="s">
        <v>3822</v>
      </c>
      <c r="J384" s="316"/>
      <c r="K384" s="317"/>
      <c r="L384" s="318"/>
      <c r="M384" s="468">
        <f>'Punten per wedstrijd'!G10*1.2</f>
        <v>352.79999999999944</v>
      </c>
      <c r="N384" s="468">
        <f>'Punten per wedstrijd'!G98</f>
        <v>383.10000000000036</v>
      </c>
      <c r="O384" s="313" t="s">
        <v>4554</v>
      </c>
      <c r="P384" s="320"/>
      <c r="Q384" s="324" t="s">
        <v>4526</v>
      </c>
      <c r="R384" s="317"/>
      <c r="S384" s="317"/>
      <c r="T384" s="317"/>
      <c r="U384" s="468">
        <f>'Punten per wedstrijd'!G153*1.2</f>
        <v>1088.2799999999995</v>
      </c>
      <c r="V384" s="468">
        <f>'Punten per wedstrijd'!G192</f>
        <v>942.49999999999955</v>
      </c>
      <c r="W384" s="313" t="s">
        <v>4557</v>
      </c>
    </row>
    <row r="385" spans="1:24" ht="15.75">
      <c r="A385" s="324" t="s">
        <v>4527</v>
      </c>
      <c r="B385" s="320"/>
      <c r="C385" s="320"/>
      <c r="D385" s="316"/>
      <c r="E385" s="468">
        <f>'Punten per wedstrijd'!F49*1.2</f>
        <v>464.39999999999941</v>
      </c>
      <c r="F385" s="468">
        <f>'Punten per wedstrijd'!F6</f>
        <v>52.000000000000682</v>
      </c>
      <c r="G385" s="313" t="s">
        <v>4555</v>
      </c>
      <c r="H385" s="320"/>
      <c r="I385" s="324" t="s">
        <v>3823</v>
      </c>
      <c r="J385" s="316"/>
      <c r="K385" s="317"/>
      <c r="L385" s="318"/>
      <c r="M385" s="468">
        <f>'Punten per wedstrijd'!G13*1.2</f>
        <v>345.84000000000032</v>
      </c>
      <c r="N385" s="468">
        <f>'Punten per wedstrijd'!G74</f>
        <v>391.69999999999982</v>
      </c>
      <c r="O385" s="313" t="s">
        <v>4554</v>
      </c>
      <c r="P385" s="320"/>
      <c r="Q385" s="324" t="s">
        <v>3825</v>
      </c>
      <c r="R385" s="317"/>
      <c r="S385" s="317"/>
      <c r="T385" s="317"/>
      <c r="U385" s="468">
        <f>'Punten per wedstrijd'!G178*1.2</f>
        <v>1118.6399999999992</v>
      </c>
      <c r="V385" s="468">
        <f>'Punten per wedstrijd'!G114</f>
        <v>1043.5000000000005</v>
      </c>
      <c r="W385" s="313" t="s">
        <v>4557</v>
      </c>
    </row>
    <row r="386" spans="1:24" ht="15.75">
      <c r="A386" s="324" t="s">
        <v>3819</v>
      </c>
      <c r="B386" s="320"/>
      <c r="C386" s="320"/>
      <c r="D386" s="316"/>
      <c r="E386" s="468">
        <f>'Punten per wedstrijd'!F74*1.2</f>
        <v>196.79999999999998</v>
      </c>
      <c r="F386" s="468">
        <f>'Punten per wedstrijd'!F98</f>
        <v>89.999999999999545</v>
      </c>
      <c r="G386" s="313" t="s">
        <v>4555</v>
      </c>
      <c r="H386" s="320"/>
      <c r="I386" s="324" t="s">
        <v>4528</v>
      </c>
      <c r="J386" s="316"/>
      <c r="K386" s="317"/>
      <c r="L386" s="318"/>
      <c r="M386" s="468">
        <f>'Punten per wedstrijd'!G21*1.2</f>
        <v>240.479999999999</v>
      </c>
      <c r="N386" s="468">
        <f>'Punten per wedstrijd'!G49</f>
        <v>193.49999999999955</v>
      </c>
      <c r="O386" s="313" t="s">
        <v>4557</v>
      </c>
      <c r="P386" s="320"/>
      <c r="Q386" s="324" t="s">
        <v>3826</v>
      </c>
      <c r="R386" s="317"/>
      <c r="S386" s="317"/>
      <c r="T386" s="317"/>
      <c r="U386" s="468">
        <f>'Punten per wedstrijd'!G199*1.2</f>
        <v>1065.1199999999983</v>
      </c>
      <c r="V386" s="468">
        <f>'Punten per wedstrijd'!G117</f>
        <v>837.59999999999991</v>
      </c>
      <c r="W386" s="313" t="s">
        <v>4555</v>
      </c>
    </row>
    <row r="387" spans="1:24" ht="15.75">
      <c r="A387" s="324" t="s">
        <v>3820</v>
      </c>
      <c r="B387" s="320"/>
      <c r="C387" s="320"/>
      <c r="D387" s="316"/>
      <c r="E387" s="468">
        <f>'Punten per wedstrijd'!F95*1.2</f>
        <v>179.16000000000048</v>
      </c>
      <c r="F387" s="468">
        <f>'Punten per wedstrijd'!F21</f>
        <v>330.00000000000023</v>
      </c>
      <c r="G387" s="313" t="s">
        <v>4556</v>
      </c>
      <c r="H387" s="320"/>
      <c r="I387" s="324" t="s">
        <v>2240</v>
      </c>
      <c r="J387" s="316"/>
      <c r="K387" s="317"/>
      <c r="L387" s="318"/>
      <c r="M387" s="468">
        <f>'Punten per wedstrijd'!G88*1.2</f>
        <v>339.23999999999921</v>
      </c>
      <c r="N387" s="468">
        <f>'Punten per wedstrijd'!G95</f>
        <v>303.29999999999927</v>
      </c>
      <c r="O387" s="313" t="s">
        <v>4557</v>
      </c>
      <c r="P387" s="320"/>
      <c r="Q387" s="324" t="s">
        <v>3827</v>
      </c>
      <c r="R387" s="317"/>
      <c r="S387" s="317"/>
      <c r="T387" s="317"/>
      <c r="U387" s="468">
        <f>'Punten per wedstrijd'!G202*1.2</f>
        <v>1119.7199999999993</v>
      </c>
      <c r="V387" s="468">
        <f>'Punten per wedstrijd'!G110</f>
        <v>666.99999999999955</v>
      </c>
      <c r="W387" s="313" t="s">
        <v>4555</v>
      </c>
    </row>
    <row r="388" spans="1:24" ht="15.75">
      <c r="A388" s="323"/>
      <c r="B388" s="320"/>
      <c r="C388" s="320"/>
      <c r="D388" s="316"/>
      <c r="E388" s="468"/>
      <c r="F388" s="468"/>
      <c r="G388" s="311"/>
      <c r="H388" s="320"/>
      <c r="I388" s="316"/>
      <c r="J388" s="316"/>
      <c r="K388" s="317"/>
      <c r="L388" s="318"/>
      <c r="M388" s="500"/>
      <c r="N388" s="500"/>
      <c r="O388" s="314"/>
      <c r="P388" s="320"/>
      <c r="Q388" s="317"/>
      <c r="R388" s="317"/>
      <c r="S388" s="317"/>
      <c r="T388" s="317"/>
      <c r="U388" s="500"/>
      <c r="V388" s="500"/>
      <c r="W388" s="314"/>
    </row>
    <row r="389" spans="1:24" s="39" customFormat="1" ht="15.75">
      <c r="A389" s="319" t="s">
        <v>187</v>
      </c>
      <c r="B389" s="444"/>
      <c r="C389" s="444"/>
      <c r="D389" s="445"/>
      <c r="E389" s="468"/>
      <c r="F389" s="468"/>
      <c r="G389" s="447" t="s">
        <v>150</v>
      </c>
      <c r="H389" s="444"/>
      <c r="I389" s="319" t="s">
        <v>188</v>
      </c>
      <c r="J389" s="445"/>
      <c r="K389" s="444"/>
      <c r="L389" s="318"/>
      <c r="M389" s="500"/>
      <c r="N389" s="500"/>
      <c r="O389" s="447" t="s">
        <v>150</v>
      </c>
      <c r="P389" s="444"/>
      <c r="Q389" s="319" t="s">
        <v>2211</v>
      </c>
      <c r="R389" s="444"/>
      <c r="S389" s="444"/>
      <c r="T389" s="444"/>
      <c r="U389" s="500"/>
      <c r="V389" s="500"/>
      <c r="W389" s="447" t="s">
        <v>150</v>
      </c>
    </row>
    <row r="390" spans="1:24" ht="15.75">
      <c r="A390" s="324" t="s">
        <v>3828</v>
      </c>
      <c r="B390" s="320"/>
      <c r="C390" s="320"/>
      <c r="D390" s="316"/>
      <c r="E390" s="468">
        <f>'Punten per wedstrijd'!H110*1.2</f>
        <v>707.75999999999908</v>
      </c>
      <c r="F390" s="468">
        <f>'Punten per wedstrijd'!H114</f>
        <v>697.99999999999864</v>
      </c>
      <c r="G390" s="313" t="s">
        <v>4557</v>
      </c>
      <c r="H390" s="320"/>
      <c r="I390" s="324" t="s">
        <v>2241</v>
      </c>
      <c r="J390" s="316"/>
      <c r="K390" s="317"/>
      <c r="L390" s="318"/>
      <c r="M390" s="468">
        <f>'Punten per wedstrijd'!H6*1.2</f>
        <v>676.6799999999995</v>
      </c>
      <c r="N390" s="468">
        <f>'Punten per wedstrijd'!H74</f>
        <v>585.99999999999818</v>
      </c>
      <c r="O390" s="313" t="s">
        <v>4557</v>
      </c>
      <c r="P390" s="320"/>
      <c r="Q390" s="324" t="s">
        <v>3834</v>
      </c>
      <c r="R390" s="317"/>
      <c r="S390" s="317"/>
      <c r="T390" s="317"/>
      <c r="U390" s="468">
        <f>'Punten per wedstrijd'!I117*1.2</f>
        <v>1012.0800000000017</v>
      </c>
      <c r="V390" s="468">
        <f>'Punten per wedstrijd'!I202</f>
        <v>779.50000000000182</v>
      </c>
      <c r="W390" s="313" t="s">
        <v>4555</v>
      </c>
    </row>
    <row r="391" spans="1:24" ht="15.75">
      <c r="A391" s="324" t="s">
        <v>4529</v>
      </c>
      <c r="B391" s="320"/>
      <c r="C391" s="320"/>
      <c r="D391" s="316"/>
      <c r="E391" s="468">
        <f>'Punten per wedstrijd'!H117*1.2</f>
        <v>1127.7600000000002</v>
      </c>
      <c r="F391" s="468">
        <f>'Punten per wedstrijd'!H153</f>
        <v>452.89999999999964</v>
      </c>
      <c r="G391" s="313" t="s">
        <v>4555</v>
      </c>
      <c r="H391" s="320"/>
      <c r="I391" s="324" t="s">
        <v>3831</v>
      </c>
      <c r="J391" s="316"/>
      <c r="K391" s="317"/>
      <c r="L391" s="318"/>
      <c r="M391" s="468">
        <f>'Punten per wedstrijd'!H10*1.2</f>
        <v>793.19999999999777</v>
      </c>
      <c r="N391" s="468">
        <f>'Punten per wedstrijd'!H21</f>
        <v>608.30000000000018</v>
      </c>
      <c r="O391" s="313" t="s">
        <v>4555</v>
      </c>
      <c r="P391" s="320"/>
      <c r="Q391" s="324" t="s">
        <v>3835</v>
      </c>
      <c r="R391" s="317"/>
      <c r="S391" s="317"/>
      <c r="T391" s="317"/>
      <c r="U391" s="468">
        <f>'Punten per wedstrijd'!I125*1.2</f>
        <v>760.55999999999915</v>
      </c>
      <c r="V391" s="468">
        <f>'Punten per wedstrijd'!I110</f>
        <v>836.09999999999854</v>
      </c>
      <c r="W391" s="313" t="s">
        <v>4554</v>
      </c>
    </row>
    <row r="392" spans="1:24" ht="15.75">
      <c r="A392" s="324" t="s">
        <v>3829</v>
      </c>
      <c r="B392" s="320"/>
      <c r="C392" s="320"/>
      <c r="D392" s="316"/>
      <c r="E392" s="468">
        <f>'Punten per wedstrijd'!H125*1.2</f>
        <v>559.07999999999902</v>
      </c>
      <c r="F392" s="468">
        <f>'Punten per wedstrijd'!H202</f>
        <v>791.70000000000027</v>
      </c>
      <c r="G392" s="313" t="s">
        <v>4556</v>
      </c>
      <c r="H392" s="320"/>
      <c r="I392" s="324" t="s">
        <v>3832</v>
      </c>
      <c r="J392" s="316"/>
      <c r="K392" s="317"/>
      <c r="L392" s="318"/>
      <c r="M392" s="468">
        <f>'Punten per wedstrijd'!H25*1.2</f>
        <v>891.23999999999864</v>
      </c>
      <c r="N392" s="468">
        <f>'Punten per wedstrijd'!H13</f>
        <v>746.10000000000036</v>
      </c>
      <c r="O392" s="313" t="s">
        <v>4557</v>
      </c>
      <c r="P392" s="320"/>
      <c r="Q392" s="324" t="s">
        <v>4530</v>
      </c>
      <c r="R392" s="317"/>
      <c r="S392" s="317"/>
      <c r="T392" s="317"/>
      <c r="U392" s="468">
        <f>'Punten per wedstrijd'!I178*1.2</f>
        <v>761.76000000000022</v>
      </c>
      <c r="V392" s="468">
        <f>'Punten per wedstrijd'!I153</f>
        <v>576.59999999999764</v>
      </c>
      <c r="W392" s="313" t="s">
        <v>4555</v>
      </c>
    </row>
    <row r="393" spans="1:24" ht="15.75">
      <c r="A393" s="324" t="s">
        <v>3830</v>
      </c>
      <c r="B393" s="320"/>
      <c r="C393" s="320"/>
      <c r="D393" s="316"/>
      <c r="E393" s="468">
        <f>'Punten per wedstrijd'!H192*1.2</f>
        <v>862.55999999999472</v>
      </c>
      <c r="F393" s="468">
        <f>'Punten per wedstrijd'!H129</f>
        <v>931.699999999998</v>
      </c>
      <c r="G393" s="313" t="s">
        <v>4554</v>
      </c>
      <c r="H393" s="320"/>
      <c r="I393" s="324" t="s">
        <v>4531</v>
      </c>
      <c r="J393" s="316"/>
      <c r="K393" s="317"/>
      <c r="L393" s="318"/>
      <c r="M393" s="468">
        <f>'Punten per wedstrijd'!H49*1.2</f>
        <v>353.28000000000065</v>
      </c>
      <c r="N393" s="468">
        <f>'Punten per wedstrijd'!H95</f>
        <v>432.59999999999854</v>
      </c>
      <c r="O393" s="313" t="s">
        <v>4554</v>
      </c>
      <c r="P393" s="320"/>
      <c r="Q393" s="324" t="s">
        <v>3836</v>
      </c>
      <c r="R393" s="317"/>
      <c r="S393" s="317"/>
      <c r="T393" s="317"/>
      <c r="U393" s="468">
        <f>'Punten per wedstrijd'!I192*1.2</f>
        <v>1253.2199999999982</v>
      </c>
      <c r="V393" s="468">
        <f>'Punten per wedstrijd'!I114</f>
        <v>1085.3999999999978</v>
      </c>
      <c r="W393" s="313" t="s">
        <v>4557</v>
      </c>
    </row>
    <row r="394" spans="1:24" ht="15.75">
      <c r="A394" s="324" t="s">
        <v>2242</v>
      </c>
      <c r="B394" s="320"/>
      <c r="C394" s="320"/>
      <c r="D394" s="316"/>
      <c r="E394" s="468">
        <f>'Punten per wedstrijd'!H199*1.2</f>
        <v>654.35999999999797</v>
      </c>
      <c r="F394" s="468">
        <f>'Punten per wedstrijd'!H178</f>
        <v>514.49999999999818</v>
      </c>
      <c r="G394" s="313" t="s">
        <v>4555</v>
      </c>
      <c r="H394" s="316"/>
      <c r="I394" s="324" t="s">
        <v>3833</v>
      </c>
      <c r="J394" s="316"/>
      <c r="K394" s="317"/>
      <c r="L394" s="318"/>
      <c r="M394" s="468">
        <f>'Punten per wedstrijd'!H98*1.2</f>
        <v>755.94000000000085</v>
      </c>
      <c r="N394" s="468">
        <f>'Punten per wedstrijd'!H88</f>
        <v>525.99999999999727</v>
      </c>
      <c r="O394" s="313" t="s">
        <v>4555</v>
      </c>
      <c r="P394" s="317"/>
      <c r="Q394" s="324" t="s">
        <v>3837</v>
      </c>
      <c r="R394" s="317"/>
      <c r="S394" s="317"/>
      <c r="T394" s="317"/>
      <c r="U394" s="468">
        <f>'Punten per wedstrijd'!I199*1.2</f>
        <v>878.39999999999884</v>
      </c>
      <c r="V394" s="468">
        <f>'Punten per wedstrijd'!I129</f>
        <v>1004.4999999999991</v>
      </c>
      <c r="W394" s="313" t="s">
        <v>4554</v>
      </c>
      <c r="X394" s="28"/>
    </row>
    <row r="395" spans="1:24" ht="15.75">
      <c r="A395" s="322"/>
      <c r="B395" s="320"/>
      <c r="C395" s="320"/>
      <c r="D395" s="316"/>
      <c r="E395" s="468"/>
      <c r="F395" s="468"/>
      <c r="G395" s="311"/>
      <c r="H395" s="316"/>
      <c r="I395" s="315"/>
      <c r="J395" s="316"/>
      <c r="K395" s="317"/>
      <c r="L395" s="318"/>
      <c r="M395" s="500"/>
      <c r="N395" s="500"/>
      <c r="O395" s="314"/>
      <c r="P395" s="317"/>
      <c r="Q395" s="315"/>
      <c r="R395" s="317"/>
      <c r="S395" s="317"/>
      <c r="T395" s="317"/>
      <c r="U395" s="500"/>
      <c r="V395" s="500"/>
      <c r="W395" s="314"/>
      <c r="X395" s="28"/>
    </row>
    <row r="396" spans="1:24" s="39" customFormat="1" ht="15.75">
      <c r="A396" s="319" t="s">
        <v>2212</v>
      </c>
      <c r="B396" s="444"/>
      <c r="C396" s="444"/>
      <c r="D396" s="445"/>
      <c r="E396" s="468"/>
      <c r="F396" s="468"/>
      <c r="G396" s="447" t="s">
        <v>150</v>
      </c>
      <c r="H396" s="444"/>
      <c r="I396" s="319" t="s">
        <v>3536</v>
      </c>
      <c r="J396" s="445"/>
      <c r="K396" s="444"/>
      <c r="L396" s="318"/>
      <c r="M396" s="500"/>
      <c r="N396" s="500"/>
      <c r="O396" s="447" t="s">
        <v>150</v>
      </c>
      <c r="P396" s="444"/>
      <c r="Q396" s="319" t="s">
        <v>3537</v>
      </c>
      <c r="R396" s="444"/>
      <c r="S396" s="444"/>
      <c r="T396" s="444"/>
      <c r="U396" s="500"/>
      <c r="V396" s="500"/>
      <c r="W396" s="447" t="s">
        <v>150</v>
      </c>
    </row>
    <row r="397" spans="1:24" ht="15.75">
      <c r="A397" s="324" t="s">
        <v>2243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4555</v>
      </c>
      <c r="H397" s="320"/>
      <c r="I397" s="324" t="s">
        <v>4321</v>
      </c>
      <c r="J397" s="316"/>
      <c r="K397" s="317"/>
      <c r="L397" s="318"/>
      <c r="M397" s="468">
        <f>'Punten per wedstrijd'!J6*1.2</f>
        <v>635.88000000000011</v>
      </c>
      <c r="N397" s="468">
        <f>'Punten per wedstrijd'!J13</f>
        <v>723.2</v>
      </c>
      <c r="O397" s="313" t="s">
        <v>4554</v>
      </c>
      <c r="P397" s="320"/>
      <c r="Q397" s="324" t="s">
        <v>2239</v>
      </c>
      <c r="R397" s="317"/>
      <c r="S397" s="317"/>
      <c r="T397" s="317"/>
      <c r="U397" s="468">
        <f>'Punten per wedstrijd'!K95*1.2</f>
        <v>376.2</v>
      </c>
      <c r="V397" s="468">
        <f>'Punten per wedstrijd'!K6</f>
        <v>172</v>
      </c>
      <c r="W397" s="313" t="s">
        <v>4555</v>
      </c>
      <c r="X397" s="28"/>
    </row>
    <row r="398" spans="1:24" ht="15.75">
      <c r="A398" s="324" t="s">
        <v>4322</v>
      </c>
      <c r="E398" s="109">
        <f>'Punten per wedstrijd'!I13*1.2</f>
        <v>109.2</v>
      </c>
      <c r="F398" s="109">
        <f>'Punten per wedstrijd'!I10</f>
        <v>49</v>
      </c>
      <c r="G398" s="313" t="s">
        <v>4555</v>
      </c>
      <c r="H398" s="320"/>
      <c r="I398" s="324" t="s">
        <v>4532</v>
      </c>
      <c r="J398" s="316"/>
      <c r="K398" s="317"/>
      <c r="L398" s="318"/>
      <c r="M398" s="468">
        <f>'Punten per wedstrijd'!J98*1.2</f>
        <v>652.38</v>
      </c>
      <c r="N398" s="468">
        <f>'Punten per wedstrijd'!J49</f>
        <v>389.8</v>
      </c>
      <c r="O398" s="313" t="s">
        <v>4555</v>
      </c>
      <c r="P398" s="320"/>
      <c r="Q398" s="324" t="s">
        <v>4533</v>
      </c>
      <c r="R398" s="317"/>
      <c r="S398" s="317"/>
      <c r="T398" s="317"/>
      <c r="U398" s="468">
        <f>'Punten per wedstrijd'!K49*1.2</f>
        <v>276.35999999999996</v>
      </c>
      <c r="V398" s="468">
        <f>'Punten per wedstrijd'!K10</f>
        <v>140</v>
      </c>
      <c r="W398" s="313" t="s">
        <v>4555</v>
      </c>
      <c r="X398" s="28"/>
    </row>
    <row r="399" spans="1:24" ht="15.75">
      <c r="A399" s="324" t="s">
        <v>4323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4556</v>
      </c>
      <c r="H399" s="320"/>
      <c r="I399" s="324" t="s">
        <v>4324</v>
      </c>
      <c r="J399" s="316"/>
      <c r="K399" s="317"/>
      <c r="L399" s="318"/>
      <c r="M399" s="468">
        <f>'Punten per wedstrijd'!J25*1.2</f>
        <v>622.79999999999995</v>
      </c>
      <c r="N399" s="468">
        <f>'Punten per wedstrijd'!J74</f>
        <v>500.40000000000003</v>
      </c>
      <c r="O399" s="313" t="s">
        <v>4557</v>
      </c>
      <c r="P399" s="320"/>
      <c r="Q399" s="324" t="s">
        <v>2307</v>
      </c>
      <c r="R399" s="317"/>
      <c r="S399" s="317"/>
      <c r="T399" s="317"/>
      <c r="U399" s="468">
        <f>'Punten per wedstrijd'!K13*1.2</f>
        <v>375.84</v>
      </c>
      <c r="V399" s="468">
        <f>'Punten per wedstrijd'!K21</f>
        <v>364.3</v>
      </c>
      <c r="W399" s="313" t="s">
        <v>4557</v>
      </c>
      <c r="X399" s="28"/>
    </row>
    <row r="400" spans="1:24" ht="15.75">
      <c r="A400" s="324" t="s">
        <v>4534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4555</v>
      </c>
      <c r="H400" s="320"/>
      <c r="I400" s="324" t="s">
        <v>4325</v>
      </c>
      <c r="J400" s="316"/>
      <c r="K400" s="317"/>
      <c r="L400" s="318"/>
      <c r="M400" s="468">
        <f>'Punten per wedstrijd'!J21*1.2</f>
        <v>707.88</v>
      </c>
      <c r="N400" s="468">
        <f>'Punten per wedstrijd'!J88</f>
        <v>400</v>
      </c>
      <c r="O400" s="313" t="s">
        <v>4555</v>
      </c>
      <c r="P400" s="320"/>
      <c r="Q400" s="324" t="s">
        <v>2244</v>
      </c>
      <c r="R400" s="317"/>
      <c r="S400" s="317"/>
      <c r="T400" s="317"/>
      <c r="U400" s="468">
        <f>'Punten per wedstrijd'!K74*1.2</f>
        <v>343.67999999999995</v>
      </c>
      <c r="V400" s="468">
        <f>'Punten per wedstrijd'!K88</f>
        <v>203</v>
      </c>
      <c r="W400" s="313" t="s">
        <v>4555</v>
      </c>
      <c r="X400" s="28"/>
    </row>
    <row r="401" spans="1:24" ht="15.75">
      <c r="A401" s="324" t="s">
        <v>4326</v>
      </c>
      <c r="E401" s="109">
        <f>'Punten per wedstrijd'!I95*1.2</f>
        <v>403.2</v>
      </c>
      <c r="F401" s="109">
        <f>'Punten per wedstrijd'!I98</f>
        <v>97.5</v>
      </c>
      <c r="G401" s="313" t="s">
        <v>4555</v>
      </c>
      <c r="H401" s="320"/>
      <c r="I401" s="324" t="s">
        <v>4327</v>
      </c>
      <c r="J401" s="316"/>
      <c r="K401" s="317"/>
      <c r="L401" s="318"/>
      <c r="M401" s="468">
        <f>'Punten per wedstrijd'!J10*1.2</f>
        <v>604.32000000000005</v>
      </c>
      <c r="N401" s="468">
        <f>'Punten per wedstrijd'!J95</f>
        <v>464.3</v>
      </c>
      <c r="O401" s="313" t="s">
        <v>4555</v>
      </c>
      <c r="P401" s="320"/>
      <c r="Q401" s="324" t="s">
        <v>4328</v>
      </c>
      <c r="R401" s="317"/>
      <c r="S401" s="317"/>
      <c r="T401" s="317"/>
      <c r="U401" s="468">
        <f>'Punten per wedstrijd'!K25*1.2</f>
        <v>287.39999999999998</v>
      </c>
      <c r="V401" s="468">
        <f>'Punten per wedstrijd'!K98</f>
        <v>157.70000000000002</v>
      </c>
      <c r="W401" s="313" t="s">
        <v>4555</v>
      </c>
      <c r="X401" s="28"/>
    </row>
    <row r="402" spans="1:24" ht="15.75">
      <c r="A402" s="323"/>
      <c r="B402" s="320"/>
      <c r="C402" s="320"/>
      <c r="D402" s="316"/>
      <c r="E402" s="468"/>
      <c r="F402" s="468"/>
      <c r="G402" s="313"/>
      <c r="H402" s="320"/>
      <c r="I402" s="320"/>
      <c r="J402" s="316"/>
      <c r="K402" s="317"/>
      <c r="L402" s="318"/>
      <c r="M402" s="500"/>
      <c r="N402" s="500"/>
      <c r="O402" s="314"/>
      <c r="P402" s="320"/>
      <c r="Q402" s="316"/>
      <c r="R402" s="317"/>
      <c r="S402" s="317"/>
      <c r="T402" s="317"/>
      <c r="U402" s="500"/>
      <c r="V402" s="500"/>
      <c r="W402" s="314"/>
      <c r="X402" s="28"/>
    </row>
    <row r="403" spans="1:24" s="39" customFormat="1" ht="15.75">
      <c r="A403" s="319" t="s">
        <v>191</v>
      </c>
      <c r="B403" s="444"/>
      <c r="C403" s="444"/>
      <c r="D403" s="445"/>
      <c r="E403" s="468"/>
      <c r="F403" s="468"/>
      <c r="G403" s="447" t="s">
        <v>150</v>
      </c>
      <c r="H403" s="444"/>
      <c r="I403" s="319" t="s">
        <v>192</v>
      </c>
      <c r="J403" s="445"/>
      <c r="K403" s="444"/>
      <c r="L403" s="318"/>
      <c r="M403" s="500"/>
      <c r="N403" s="500"/>
      <c r="O403" s="447" t="s">
        <v>150</v>
      </c>
      <c r="P403" s="444"/>
      <c r="Q403" s="319" t="s">
        <v>195</v>
      </c>
      <c r="R403" s="444"/>
      <c r="S403" s="444"/>
      <c r="T403" s="444"/>
      <c r="U403" s="500"/>
      <c r="V403" s="500"/>
      <c r="W403" s="447" t="s">
        <v>150</v>
      </c>
    </row>
    <row r="404" spans="1:24" ht="15.75">
      <c r="A404" s="324" t="s">
        <v>4329</v>
      </c>
      <c r="B404" s="320"/>
      <c r="C404" s="320"/>
      <c r="D404" s="316"/>
      <c r="E404" s="468">
        <f>'Punten per wedstrijd'!L88*1.2</f>
        <v>234.6</v>
      </c>
      <c r="F404" s="468">
        <f>'Punten per wedstrijd'!L13</f>
        <v>145.5</v>
      </c>
      <c r="G404" s="313" t="s">
        <v>4555</v>
      </c>
      <c r="H404" s="320"/>
      <c r="I404" s="324" t="s">
        <v>4330</v>
      </c>
      <c r="J404" s="316"/>
      <c r="K404" s="317"/>
      <c r="L404" s="318"/>
      <c r="M404" s="468">
        <f>'Punten per wedstrijd'!M25*1.2</f>
        <v>489</v>
      </c>
      <c r="N404" s="468">
        <f>'Punten per wedstrijd'!M6</f>
        <v>427.49999999999909</v>
      </c>
      <c r="O404" s="313" t="s">
        <v>4557</v>
      </c>
      <c r="P404" s="320"/>
      <c r="Q404" s="324" t="s">
        <v>4331</v>
      </c>
      <c r="R404" s="317"/>
      <c r="S404" s="317"/>
      <c r="T404" s="317"/>
      <c r="U404" s="468"/>
      <c r="V404" s="468"/>
      <c r="W404" s="314"/>
      <c r="X404" s="28"/>
    </row>
    <row r="405" spans="1:24" ht="15.75">
      <c r="A405" s="324" t="s">
        <v>4332</v>
      </c>
      <c r="B405" s="320"/>
      <c r="C405" s="320"/>
      <c r="D405" s="316"/>
      <c r="E405" s="468">
        <f>'Punten per wedstrijd'!L10*1.2</f>
        <v>126.6</v>
      </c>
      <c r="F405" s="468">
        <f>'Punten per wedstrijd'!L25</f>
        <v>102.60000000000001</v>
      </c>
      <c r="G405" s="313" t="s">
        <v>4557</v>
      </c>
      <c r="H405" s="320"/>
      <c r="I405" s="324" t="s">
        <v>4333</v>
      </c>
      <c r="J405" s="316"/>
      <c r="K405" s="317"/>
      <c r="L405" s="318"/>
      <c r="M405" s="468">
        <f>'Punten per wedstrijd'!M98*1.2</f>
        <v>630.23999999999978</v>
      </c>
      <c r="N405" s="468">
        <f>'Punten per wedstrijd'!M10</f>
        <v>504.99999999999909</v>
      </c>
      <c r="O405" s="313" t="s">
        <v>4557</v>
      </c>
      <c r="P405" s="320"/>
      <c r="Q405" s="324" t="s">
        <v>4535</v>
      </c>
      <c r="R405" s="317"/>
      <c r="S405" s="317"/>
      <c r="T405" s="317"/>
      <c r="U405" s="468"/>
      <c r="V405" s="468"/>
      <c r="W405" s="313"/>
      <c r="X405" s="28"/>
    </row>
    <row r="406" spans="1:24" ht="15.75">
      <c r="A406" s="324" t="s">
        <v>4536</v>
      </c>
      <c r="B406" s="320"/>
      <c r="C406" s="320"/>
      <c r="D406" s="316"/>
      <c r="E406" s="468">
        <f>'Punten per wedstrijd'!L6*1.2</f>
        <v>0</v>
      </c>
      <c r="F406" s="468">
        <f>'Punten per wedstrijd'!L49</f>
        <v>238.7</v>
      </c>
      <c r="G406" s="313" t="s">
        <v>4556</v>
      </c>
      <c r="H406" s="320"/>
      <c r="I406" s="324" t="s">
        <v>4334</v>
      </c>
      <c r="J406" s="316"/>
      <c r="K406" s="317"/>
      <c r="L406" s="318"/>
      <c r="M406" s="468">
        <f>'Punten per wedstrijd'!M74*1.2</f>
        <v>688.8</v>
      </c>
      <c r="N406" s="468">
        <f>'Punten per wedstrijd'!M13</f>
        <v>685.30000000000109</v>
      </c>
      <c r="O406" s="313" t="s">
        <v>4557</v>
      </c>
      <c r="P406" s="320"/>
      <c r="Q406" s="324" t="s">
        <v>4335</v>
      </c>
      <c r="R406" s="317"/>
      <c r="S406" s="317"/>
      <c r="T406" s="317"/>
      <c r="U406" s="468"/>
      <c r="V406" s="468"/>
      <c r="W406" s="314"/>
      <c r="X406" s="28"/>
    </row>
    <row r="407" spans="1:24" ht="15.75">
      <c r="A407" s="324" t="s">
        <v>4336</v>
      </c>
      <c r="B407" s="320"/>
      <c r="C407" s="320"/>
      <c r="D407" s="316"/>
      <c r="E407" s="468">
        <f>'Punten per wedstrijd'!L98*1.2</f>
        <v>74.88000000000001</v>
      </c>
      <c r="F407" s="468">
        <f>'Punten per wedstrijd'!L74</f>
        <v>170.5</v>
      </c>
      <c r="G407" s="313" t="s">
        <v>4556</v>
      </c>
      <c r="H407" s="320"/>
      <c r="I407" s="324" t="s">
        <v>4537</v>
      </c>
      <c r="J407" s="316"/>
      <c r="K407" s="317"/>
      <c r="L407" s="318"/>
      <c r="M407" s="468">
        <f>'Punten per wedstrijd'!M49*1.2</f>
        <v>605.1599999999969</v>
      </c>
      <c r="N407" s="468">
        <f>'Punten per wedstrijd'!M21</f>
        <v>615.49999999999909</v>
      </c>
      <c r="O407" s="313" t="s">
        <v>4554</v>
      </c>
      <c r="P407" s="320"/>
      <c r="Q407" s="324" t="s">
        <v>4337</v>
      </c>
      <c r="R407" s="317"/>
      <c r="S407" s="317"/>
      <c r="T407" s="317"/>
      <c r="U407" s="468"/>
      <c r="V407" s="468"/>
      <c r="W407" s="314"/>
      <c r="X407" s="28"/>
    </row>
    <row r="408" spans="1:24" ht="15.75">
      <c r="A408" s="324" t="s">
        <v>4338</v>
      </c>
      <c r="B408" s="320"/>
      <c r="C408" s="320"/>
      <c r="D408" s="316"/>
      <c r="E408" s="468">
        <f>'Punten per wedstrijd'!L21*1.2</f>
        <v>368.4</v>
      </c>
      <c r="F408" s="468">
        <f>'Punten per wedstrijd'!L95</f>
        <v>138.80000000000001</v>
      </c>
      <c r="G408" s="313" t="s">
        <v>4555</v>
      </c>
      <c r="H408" s="320"/>
      <c r="I408" s="324" t="s">
        <v>2234</v>
      </c>
      <c r="J408" s="316"/>
      <c r="K408" s="317"/>
      <c r="L408" s="318"/>
      <c r="M408" s="468">
        <f>'Punten per wedstrijd'!M95*1.2</f>
        <v>456.35999999999802</v>
      </c>
      <c r="N408" s="468">
        <f>'Punten per wedstrijd'!M88</f>
        <v>349.99999999999909</v>
      </c>
      <c r="O408" s="313" t="s">
        <v>4555</v>
      </c>
      <c r="P408" s="320"/>
      <c r="Q408" s="324" t="s">
        <v>4339</v>
      </c>
      <c r="R408" s="317"/>
      <c r="S408" s="317"/>
      <c r="T408" s="317"/>
      <c r="U408" s="468"/>
      <c r="V408" s="468"/>
      <c r="W408" s="313"/>
      <c r="X408" s="28"/>
    </row>
    <row r="409" spans="1:24" ht="15.75">
      <c r="A409" s="323"/>
      <c r="B409" s="320"/>
      <c r="C409" s="320"/>
      <c r="D409" s="316"/>
      <c r="E409" s="468"/>
      <c r="F409" s="468"/>
      <c r="G409" s="311"/>
      <c r="H409" s="320"/>
      <c r="I409" s="316"/>
      <c r="J409" s="316"/>
      <c r="K409" s="317"/>
      <c r="L409" s="318"/>
      <c r="M409" s="500"/>
      <c r="N409" s="500"/>
      <c r="O409" s="314"/>
      <c r="P409" s="320"/>
      <c r="Q409" s="317"/>
      <c r="R409" s="317"/>
      <c r="S409" s="317"/>
      <c r="T409" s="317"/>
      <c r="U409" s="500"/>
      <c r="V409" s="500"/>
      <c r="W409" s="314"/>
      <c r="X409" s="28"/>
    </row>
    <row r="410" spans="1:24" s="39" customFormat="1" ht="15.75">
      <c r="A410" s="319" t="s">
        <v>193</v>
      </c>
      <c r="B410" s="444"/>
      <c r="C410" s="444"/>
      <c r="D410" s="445"/>
      <c r="E410" s="468"/>
      <c r="F410" s="468"/>
      <c r="G410" s="447" t="s">
        <v>150</v>
      </c>
      <c r="H410" s="444"/>
      <c r="I410" s="319" t="s">
        <v>194</v>
      </c>
      <c r="J410" s="445"/>
      <c r="K410" s="444"/>
      <c r="L410" s="318"/>
      <c r="M410" s="500"/>
      <c r="N410" s="500"/>
      <c r="O410" s="447" t="s">
        <v>150</v>
      </c>
      <c r="P410" s="444"/>
      <c r="Q410" s="319" t="s">
        <v>176</v>
      </c>
      <c r="R410" s="444"/>
      <c r="S410" s="444"/>
      <c r="T410" s="444"/>
      <c r="U410" s="500"/>
      <c r="V410" s="500"/>
      <c r="W410" s="447" t="s">
        <v>150</v>
      </c>
    </row>
    <row r="411" spans="1:24" ht="15.75">
      <c r="A411" s="324" t="s">
        <v>4340</v>
      </c>
      <c r="B411" s="320"/>
      <c r="C411" s="320"/>
      <c r="D411" s="316"/>
      <c r="E411" s="468"/>
      <c r="F411" s="468"/>
      <c r="G411" s="314"/>
      <c r="H411" s="320"/>
      <c r="I411" s="324" t="s">
        <v>2235</v>
      </c>
      <c r="J411" s="316"/>
      <c r="K411" s="317"/>
      <c r="L411" s="318"/>
      <c r="M411" s="468"/>
      <c r="N411" s="468"/>
      <c r="O411" s="314"/>
      <c r="P411" s="320"/>
      <c r="Q411" s="324" t="s">
        <v>4341</v>
      </c>
      <c r="R411" s="317"/>
      <c r="S411" s="317"/>
      <c r="T411" s="317"/>
      <c r="U411" s="468"/>
      <c r="V411" s="468"/>
      <c r="W411" s="314"/>
      <c r="X411" s="28"/>
    </row>
    <row r="412" spans="1:24" ht="15.75">
      <c r="A412" s="324" t="s">
        <v>4538</v>
      </c>
      <c r="B412" s="320"/>
      <c r="C412" s="320"/>
      <c r="D412" s="316"/>
      <c r="E412" s="468"/>
      <c r="F412" s="468"/>
      <c r="G412" s="314"/>
      <c r="H412" s="320"/>
      <c r="I412" s="324" t="s">
        <v>4342</v>
      </c>
      <c r="J412" s="316"/>
      <c r="K412" s="317"/>
      <c r="L412" s="318"/>
      <c r="M412" s="468"/>
      <c r="N412" s="468"/>
      <c r="O412" s="314"/>
      <c r="P412" s="320"/>
      <c r="Q412" s="324" t="s">
        <v>4343</v>
      </c>
      <c r="R412" s="317"/>
      <c r="S412" s="317"/>
      <c r="T412" s="317"/>
      <c r="U412" s="468"/>
      <c r="V412" s="468"/>
      <c r="W412" s="314"/>
      <c r="X412" s="28"/>
    </row>
    <row r="413" spans="1:24" ht="15.75">
      <c r="A413" s="324" t="s">
        <v>5055</v>
      </c>
      <c r="B413" s="320"/>
      <c r="C413" s="320"/>
      <c r="D413" s="316"/>
      <c r="E413" s="468"/>
      <c r="F413" s="468"/>
      <c r="G413" s="313"/>
      <c r="H413" s="320"/>
      <c r="I413" s="324" t="s">
        <v>4344</v>
      </c>
      <c r="J413" s="316"/>
      <c r="K413" s="317"/>
      <c r="L413" s="318"/>
      <c r="M413" s="468"/>
      <c r="N413" s="468"/>
      <c r="O413" s="313"/>
      <c r="P413" s="320"/>
      <c r="Q413" s="324" t="s">
        <v>4539</v>
      </c>
      <c r="R413" s="317"/>
      <c r="S413" s="317"/>
      <c r="T413" s="317"/>
      <c r="U413" s="468"/>
      <c r="V413" s="468"/>
      <c r="W413" s="313"/>
      <c r="X413" s="28"/>
    </row>
    <row r="414" spans="1:24" ht="15.75">
      <c r="A414" s="324" t="s">
        <v>4345</v>
      </c>
      <c r="B414" s="320"/>
      <c r="C414" s="320"/>
      <c r="D414" s="316"/>
      <c r="E414" s="468"/>
      <c r="F414" s="468"/>
      <c r="G414" s="314"/>
      <c r="H414" s="320"/>
      <c r="I414" s="324" t="s">
        <v>4540</v>
      </c>
      <c r="J414" s="316"/>
      <c r="K414" s="317"/>
      <c r="L414" s="318"/>
      <c r="M414" s="468"/>
      <c r="N414" s="468"/>
      <c r="O414" s="313"/>
      <c r="P414" s="320"/>
      <c r="Q414" s="324" t="s">
        <v>4346</v>
      </c>
      <c r="R414" s="317"/>
      <c r="S414" s="317"/>
      <c r="T414" s="317"/>
      <c r="U414" s="468"/>
      <c r="V414" s="468"/>
      <c r="W414" s="313"/>
      <c r="X414" s="28"/>
    </row>
    <row r="415" spans="1:24" ht="15.75">
      <c r="A415" s="324" t="s">
        <v>2236</v>
      </c>
      <c r="B415" s="320"/>
      <c r="C415" s="320"/>
      <c r="D415" s="316"/>
      <c r="E415" s="468"/>
      <c r="F415" s="468"/>
      <c r="G415" s="314"/>
      <c r="H415" s="316"/>
      <c r="I415" s="324" t="s">
        <v>4347</v>
      </c>
      <c r="J415" s="316"/>
      <c r="K415" s="317"/>
      <c r="L415" s="318"/>
      <c r="M415" s="468"/>
      <c r="N415" s="468"/>
      <c r="O415" s="313"/>
      <c r="P415" s="317"/>
      <c r="Q415" s="324" t="s">
        <v>4348</v>
      </c>
      <c r="R415" s="317"/>
      <c r="S415" s="317"/>
      <c r="T415" s="317"/>
      <c r="U415" s="468"/>
      <c r="V415" s="468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3463</v>
      </c>
      <c r="E418" s="435" t="s">
        <v>3464</v>
      </c>
      <c r="F418" s="435" t="s">
        <v>843</v>
      </c>
      <c r="G418" s="435" t="s">
        <v>2528</v>
      </c>
      <c r="H418" s="435" t="s">
        <v>2197</v>
      </c>
      <c r="I418" s="435" t="s">
        <v>2199</v>
      </c>
      <c r="J418" s="435" t="s">
        <v>2198</v>
      </c>
      <c r="K418" s="435" t="s">
        <v>2200</v>
      </c>
      <c r="L418" s="435" t="s">
        <v>2201</v>
      </c>
      <c r="M418" s="435" t="s">
        <v>2202</v>
      </c>
      <c r="N418" s="435" t="s">
        <v>2203</v>
      </c>
      <c r="O418" s="435" t="s">
        <v>2204</v>
      </c>
      <c r="P418" s="435" t="s">
        <v>2205</v>
      </c>
      <c r="Q418" s="435" t="s">
        <v>2206</v>
      </c>
      <c r="R418" s="435" t="s">
        <v>2207</v>
      </c>
      <c r="S418" s="435" t="s">
        <v>2184</v>
      </c>
      <c r="T418" s="435" t="s">
        <v>2208</v>
      </c>
      <c r="U418" s="435" t="s">
        <v>2209</v>
      </c>
      <c r="V418" s="202" t="s">
        <v>40</v>
      </c>
      <c r="W418" s="28"/>
      <c r="X418" s="28"/>
      <c r="Y418" s="28"/>
      <c r="Z418" s="28"/>
    </row>
    <row r="419" spans="1:26" ht="15.75">
      <c r="A419" s="28" t="s">
        <v>2308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/>
      <c r="S419" s="50"/>
      <c r="T419" s="50"/>
      <c r="U419" s="50"/>
      <c r="V419" s="303">
        <f>SUM(D419:U419)</f>
        <v>27</v>
      </c>
      <c r="W419" s="503">
        <f>SUM($E$379,$N$378,$V$380,$E$384,$N$383,$U$383,$F$393,$M$392,$V$394,$F$400,$M$399,$U$401,$F$405,$M$404,$V$404,$E$414,$N$413,$U$415)</f>
        <v>7842.8399999999947</v>
      </c>
      <c r="X419" s="50" t="s">
        <v>90</v>
      </c>
      <c r="Y419" s="28"/>
      <c r="Z419" s="28"/>
    </row>
    <row r="420" spans="1:26" ht="15.75">
      <c r="A420" s="28" t="s">
        <v>3598</v>
      </c>
      <c r="D420" s="50">
        <v>3</v>
      </c>
      <c r="E420" s="50">
        <v>2</v>
      </c>
      <c r="F420" s="50">
        <v>3</v>
      </c>
      <c r="G420" s="50">
        <v>3</v>
      </c>
      <c r="H420" s="50">
        <v>2</v>
      </c>
      <c r="I420" s="50">
        <v>0</v>
      </c>
      <c r="J420" s="50">
        <v>0</v>
      </c>
      <c r="K420" s="50">
        <v>0</v>
      </c>
      <c r="L420" s="50">
        <v>1</v>
      </c>
      <c r="M420" s="50">
        <v>3</v>
      </c>
      <c r="N420" s="50">
        <v>3</v>
      </c>
      <c r="O420" s="50">
        <v>1</v>
      </c>
      <c r="P420" s="50">
        <v>3</v>
      </c>
      <c r="Q420" s="50">
        <v>2</v>
      </c>
      <c r="R420" s="50"/>
      <c r="S420" s="50"/>
      <c r="T420" s="50"/>
      <c r="U420" s="50"/>
      <c r="V420" s="303">
        <f>SUM(D420:U420)</f>
        <v>26</v>
      </c>
      <c r="W420" s="503">
        <f>SUM($E$378,$N$379,$U$378,$F$387,$M$386,$V$383,$E$392,$N$391,$U$391,$F$399,$M$400,$V$399,$E$408,$N$407,$U$404,$F$413,$M$412,$V$412)</f>
        <v>7027.6999999999944</v>
      </c>
      <c r="X420" s="50" t="s">
        <v>91</v>
      </c>
      <c r="Y420" s="28"/>
      <c r="Z420" s="28"/>
    </row>
    <row r="421" spans="1:26" ht="15.75">
      <c r="A421" s="524" t="s">
        <v>2268</v>
      </c>
      <c r="B421" s="531"/>
      <c r="C421" s="531"/>
      <c r="D421" s="532">
        <v>0</v>
      </c>
      <c r="E421" s="532">
        <v>3</v>
      </c>
      <c r="F421" s="532">
        <v>2</v>
      </c>
      <c r="G421" s="532">
        <v>3</v>
      </c>
      <c r="H421" s="532">
        <v>2</v>
      </c>
      <c r="I421" s="532">
        <v>2</v>
      </c>
      <c r="J421" s="532">
        <v>0</v>
      </c>
      <c r="K421" s="532">
        <v>1</v>
      </c>
      <c r="L421" s="532">
        <v>3</v>
      </c>
      <c r="M421" s="532">
        <v>0</v>
      </c>
      <c r="N421" s="532">
        <v>1</v>
      </c>
      <c r="O421" s="532">
        <v>3</v>
      </c>
      <c r="P421" s="532">
        <v>3</v>
      </c>
      <c r="Q421" s="532">
        <v>2</v>
      </c>
      <c r="R421" s="532"/>
      <c r="S421" s="532"/>
      <c r="T421" s="532"/>
      <c r="U421" s="532"/>
      <c r="V421" s="533">
        <f>SUM(D421:U421)</f>
        <v>25</v>
      </c>
      <c r="W421" s="534">
        <f>SUM($F$378,$M$378,$V$379,$E$386,$N$385,$U$385,$F$394,$N$390,$U$392,$E$399,$N$399,$U$400,$F$407,$M$406,$V$406,$E$415,$M$411,$V$413)</f>
        <v>7121.1999999999962</v>
      </c>
      <c r="X421" s="50" t="s">
        <v>92</v>
      </c>
      <c r="Y421" s="28"/>
      <c r="Z421" s="28"/>
    </row>
    <row r="422" spans="1:26" ht="15.75">
      <c r="A422" s="412" t="s">
        <v>2264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/>
      <c r="S422" s="330"/>
      <c r="T422" s="330"/>
      <c r="U422" s="330"/>
      <c r="V422" s="329">
        <f>SUM(D422:U422)</f>
        <v>24</v>
      </c>
      <c r="W422" s="504">
        <f>SUM($F$380,$M$380,$V$376,$E$387,$N$387,$U$386,$E$394,$N$393,$U$394,$E$401,$N$401,$U$397,$F$408,$M$408,$V$407,$F$415,$M$414,$V$415)</f>
        <v>6448.0999999999904</v>
      </c>
      <c r="X422" s="50" t="s">
        <v>93</v>
      </c>
      <c r="Y422" s="28"/>
      <c r="Z422" s="28"/>
    </row>
    <row r="423" spans="1:26" ht="15.75">
      <c r="A423" s="278" t="s">
        <v>4522</v>
      </c>
      <c r="D423" s="50">
        <v>0</v>
      </c>
      <c r="E423" s="50">
        <v>3</v>
      </c>
      <c r="F423" s="50">
        <v>3</v>
      </c>
      <c r="G423" s="50">
        <v>3</v>
      </c>
      <c r="H423" s="50">
        <v>1</v>
      </c>
      <c r="I423" s="50">
        <v>2</v>
      </c>
      <c r="J423" s="50">
        <v>0</v>
      </c>
      <c r="K423" s="50">
        <v>1</v>
      </c>
      <c r="L423" s="50">
        <v>0</v>
      </c>
      <c r="M423" s="50">
        <v>3</v>
      </c>
      <c r="N423" s="50">
        <v>0</v>
      </c>
      <c r="O423" s="50">
        <v>3</v>
      </c>
      <c r="P423" s="50">
        <v>3</v>
      </c>
      <c r="Q423" s="50">
        <v>1</v>
      </c>
      <c r="R423" s="50"/>
      <c r="S423" s="50"/>
      <c r="T423" s="50"/>
      <c r="U423" s="50"/>
      <c r="V423" s="303">
        <f>SUM(D423:U423)</f>
        <v>23</v>
      </c>
      <c r="W423" s="503">
        <f>SUM($F$379,$M$377,$V$377,$E$385,$N$386,$U$384,$F$391,$M$393,$V$392,$E$400,$N$398,$U$398,$F$406,$M$407,$V$405,$E$412,$N$414,$U$413)</f>
        <v>6744.6399999999931</v>
      </c>
      <c r="X423" s="28"/>
      <c r="Y423" s="28"/>
      <c r="Z423" s="28"/>
    </row>
    <row r="424" spans="1:26" ht="15.75">
      <c r="A424" s="278" t="s">
        <v>3597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/>
      <c r="S424" s="50"/>
      <c r="T424" s="50"/>
      <c r="U424" s="50"/>
      <c r="V424" s="303">
        <f>SUM(D424:U424)</f>
        <v>20</v>
      </c>
      <c r="W424" s="503">
        <f>SUM($F$377,$M$376,$V$378,$E$383,$M$385,$V$386,$E$391,$N$392,$U$390,$E$398,$N$397,$U$399,$F$404,$N$406,$U$407,$F$412,$M$413,$V$411)</f>
        <v>7518.2400000000043</v>
      </c>
      <c r="X424" s="28"/>
      <c r="Y424" s="28"/>
      <c r="Z424" s="28"/>
    </row>
    <row r="425" spans="1:26" ht="15.75">
      <c r="A425" s="28" t="s">
        <v>2263</v>
      </c>
      <c r="D425" s="50">
        <v>2</v>
      </c>
      <c r="E425" s="50">
        <v>1</v>
      </c>
      <c r="F425" s="50">
        <v>1</v>
      </c>
      <c r="G425" s="50">
        <v>3</v>
      </c>
      <c r="H425" s="50">
        <v>2</v>
      </c>
      <c r="I425" s="50">
        <v>1</v>
      </c>
      <c r="J425" s="50">
        <v>1</v>
      </c>
      <c r="K425" s="50">
        <v>0</v>
      </c>
      <c r="L425" s="50">
        <v>2</v>
      </c>
      <c r="M425" s="50">
        <v>3</v>
      </c>
      <c r="N425" s="50">
        <v>0</v>
      </c>
      <c r="O425" s="50">
        <v>0</v>
      </c>
      <c r="P425" s="50">
        <v>3</v>
      </c>
      <c r="Q425" s="50">
        <v>0</v>
      </c>
      <c r="R425" s="50"/>
      <c r="S425" s="50"/>
      <c r="T425" s="50"/>
      <c r="U425" s="50"/>
      <c r="V425" s="303">
        <f>SUM(D425:U425)</f>
        <v>19</v>
      </c>
      <c r="W425" s="503">
        <f>SUM($F$376,$M$379,$U$379,$F$383,$M$387,$V$384,$E$393,$N$394,$U$393,$E$397,$N$400,$V$400,$E$404,$N$408,$U$405,$F$414,$M$415,$V$414)</f>
        <v>7062.7799999999879</v>
      </c>
      <c r="X425" s="28"/>
      <c r="Y425" s="28"/>
      <c r="Z425" s="28"/>
    </row>
    <row r="426" spans="1:26" ht="15.75">
      <c r="A426" s="63" t="s">
        <v>3599</v>
      </c>
      <c r="D426" s="50">
        <v>1</v>
      </c>
      <c r="E426" s="50">
        <v>0</v>
      </c>
      <c r="F426" s="50">
        <v>1</v>
      </c>
      <c r="G426" s="50">
        <v>0</v>
      </c>
      <c r="H426" s="50">
        <v>2</v>
      </c>
      <c r="I426" s="50">
        <v>3</v>
      </c>
      <c r="J426" s="50">
        <v>3</v>
      </c>
      <c r="K426" s="50">
        <v>3</v>
      </c>
      <c r="L426" s="50">
        <v>0</v>
      </c>
      <c r="M426" s="50">
        <v>0</v>
      </c>
      <c r="N426" s="50">
        <v>3</v>
      </c>
      <c r="O426" s="50">
        <v>0</v>
      </c>
      <c r="P426" s="50">
        <v>0</v>
      </c>
      <c r="Q426" s="50">
        <v>2</v>
      </c>
      <c r="R426" s="50"/>
      <c r="S426" s="50"/>
      <c r="T426" s="50"/>
      <c r="U426" s="50"/>
      <c r="V426" s="303">
        <f>SUM(D426:U426)</f>
        <v>18</v>
      </c>
      <c r="W426" s="503">
        <f>SUM($E$380,$N$377,$U$380,$F$386,$N$384,$U$387,$F$392,$M$394,$V$390,$F$401,$M$398,$V$401,$E$407,$M$405,$V$408,$E$413,$N$415,$U$411)</f>
        <v>6698.9800000000023</v>
      </c>
      <c r="X426" s="28"/>
      <c r="Y426" s="28"/>
      <c r="Z426" s="28"/>
    </row>
    <row r="427" spans="1:26" ht="15.75">
      <c r="A427" s="28" t="s">
        <v>3500</v>
      </c>
      <c r="D427" s="50">
        <v>2</v>
      </c>
      <c r="E427" s="50">
        <v>0</v>
      </c>
      <c r="F427" s="50">
        <v>0</v>
      </c>
      <c r="G427" s="50">
        <v>1</v>
      </c>
      <c r="H427" s="50">
        <v>1</v>
      </c>
      <c r="I427" s="50">
        <v>1</v>
      </c>
      <c r="J427" s="50">
        <v>1</v>
      </c>
      <c r="K427" s="50">
        <v>3</v>
      </c>
      <c r="L427" s="50">
        <v>1</v>
      </c>
      <c r="M427" s="50">
        <v>0</v>
      </c>
      <c r="N427" s="50">
        <v>3</v>
      </c>
      <c r="O427" s="50">
        <v>0</v>
      </c>
      <c r="P427" s="50">
        <v>2</v>
      </c>
      <c r="Q427" s="50">
        <v>1</v>
      </c>
      <c r="R427" s="50"/>
      <c r="S427" s="50"/>
      <c r="T427" s="50"/>
      <c r="U427" s="50"/>
      <c r="V427" s="303">
        <f>SUM(D427:U427)</f>
        <v>16</v>
      </c>
      <c r="W427" s="503">
        <f>SUM($E$377,$N$380,$U$377,$F$384,$M$384,$V$385,$F$390,$M$391,$V$393,$F$398,$M$401,$V$398,$E$405,$N$405,$U$406,$E$411,$N$412,$U$414)</f>
        <v>6780.1399999999931</v>
      </c>
      <c r="X427" s="28"/>
      <c r="Y427" s="28"/>
      <c r="Z427" s="28"/>
    </row>
    <row r="428" spans="1:26" ht="15.75">
      <c r="A428" s="278" t="s">
        <v>2265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/>
      <c r="S428" s="50"/>
      <c r="T428" s="50"/>
      <c r="U428" s="50"/>
      <c r="V428" s="303">
        <f>SUM(D428:U428)</f>
        <v>12</v>
      </c>
      <c r="W428" s="503">
        <f>SUM($E$376,$N$376,$U$376,$F$385,$M$383,$V$387,$E$390,$M$390,$V$391,$F$397,$M$397,$V$397,$E$406,$N$404,$U$408,$F$411,$N$411,$U$412)</f>
        <v>5651.2599999999975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9">
        <f>SUM(W419:W428)</f>
        <v>68895.879999999961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9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2168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4"/>
      <c r="C435" s="444"/>
      <c r="D435" s="445"/>
      <c r="E435" s="445"/>
      <c r="F435" s="445"/>
      <c r="G435" s="318" t="s">
        <v>150</v>
      </c>
      <c r="H435" s="444"/>
      <c r="I435" s="319" t="s">
        <v>184</v>
      </c>
      <c r="J435" s="445"/>
      <c r="K435" s="444"/>
      <c r="L435" s="318"/>
      <c r="M435" s="444"/>
      <c r="N435" s="444"/>
      <c r="O435" s="318" t="s">
        <v>150</v>
      </c>
      <c r="P435" s="444"/>
      <c r="Q435" s="319" t="s">
        <v>843</v>
      </c>
      <c r="R435" s="444"/>
      <c r="S435" s="444"/>
      <c r="T435" s="444"/>
      <c r="U435" s="444"/>
      <c r="V435" s="444"/>
      <c r="W435" s="318" t="s">
        <v>150</v>
      </c>
    </row>
    <row r="436" spans="1:26" ht="15.75">
      <c r="A436" s="324" t="s">
        <v>3640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4555</v>
      </c>
      <c r="H436" s="320"/>
      <c r="I436" s="324" t="s">
        <v>3838</v>
      </c>
      <c r="J436" s="316"/>
      <c r="K436" s="317"/>
      <c r="L436" s="318"/>
      <c r="M436" s="468">
        <f>'Punten per wedstrijd'!E32*1.2</f>
        <v>447</v>
      </c>
      <c r="N436" s="468">
        <f>'Punten per wedstrijd'!E20</f>
        <v>204.5999999999998</v>
      </c>
      <c r="O436" s="313" t="s">
        <v>4555</v>
      </c>
      <c r="P436" s="320"/>
      <c r="Q436" s="324" t="s">
        <v>3843</v>
      </c>
      <c r="R436" s="317"/>
      <c r="S436" s="317"/>
      <c r="T436" s="317"/>
      <c r="U436" s="468">
        <f>'Punten per wedstrijd'!F124*1.2</f>
        <v>485.52000000000015</v>
      </c>
      <c r="V436" s="468">
        <f>'Punten per wedstrijd'!F195</f>
        <v>524.10000000000082</v>
      </c>
      <c r="W436" s="313" t="s">
        <v>4554</v>
      </c>
    </row>
    <row r="437" spans="1:26" ht="15.75">
      <c r="A437" s="324" t="s">
        <v>3641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4554</v>
      </c>
      <c r="H437" s="320"/>
      <c r="I437" s="324" t="s">
        <v>3839</v>
      </c>
      <c r="J437" s="316"/>
      <c r="K437" s="317"/>
      <c r="L437" s="318"/>
      <c r="M437" s="468">
        <f>'Punten per wedstrijd'!E54*1.2</f>
        <v>379.19999999999987</v>
      </c>
      <c r="N437" s="468">
        <f>'Punten per wedstrijd'!E100</f>
        <v>109.8000000000003</v>
      </c>
      <c r="O437" s="313" t="s">
        <v>4555</v>
      </c>
      <c r="P437" s="320"/>
      <c r="Q437" s="324" t="s">
        <v>3844</v>
      </c>
      <c r="R437" s="317"/>
      <c r="S437" s="317"/>
      <c r="T437" s="317"/>
      <c r="U437" s="468">
        <f>'Punten per wedstrijd'!F131*1.2</f>
        <v>555.84</v>
      </c>
      <c r="V437" s="468">
        <f>'Punten per wedstrijd'!F158</f>
        <v>528.39999999999986</v>
      </c>
      <c r="W437" s="313" t="s">
        <v>4557</v>
      </c>
    </row>
    <row r="438" spans="1:26" ht="15.75">
      <c r="A438" s="324" t="s">
        <v>3642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4555</v>
      </c>
      <c r="H438" s="320"/>
      <c r="I438" s="324" t="s">
        <v>3840</v>
      </c>
      <c r="J438" s="316"/>
      <c r="K438" s="317"/>
      <c r="L438" s="318"/>
      <c r="M438" s="468">
        <f>'Punten per wedstrijd'!E76*1.2</f>
        <v>72</v>
      </c>
      <c r="N438" s="468">
        <f>'Punten per wedstrijd'!E43</f>
        <v>166.89999999999998</v>
      </c>
      <c r="O438" s="313" t="s">
        <v>4556</v>
      </c>
      <c r="P438" s="320"/>
      <c r="Q438" s="324" t="s">
        <v>3845</v>
      </c>
      <c r="R438" s="317"/>
      <c r="S438" s="317"/>
      <c r="T438" s="317"/>
      <c r="U438" s="468">
        <f>'Punten per wedstrijd'!F139*1.2</f>
        <v>666.60000000000105</v>
      </c>
      <c r="V438" s="468">
        <f>'Punten per wedstrijd'!F136</f>
        <v>534.00000000000091</v>
      </c>
      <c r="W438" s="313" t="s">
        <v>4557</v>
      </c>
    </row>
    <row r="439" spans="1:26" ht="15.75">
      <c r="A439" s="324" t="s">
        <v>3643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4555</v>
      </c>
      <c r="H439" s="320"/>
      <c r="I439" s="324" t="s">
        <v>3841</v>
      </c>
      <c r="J439" s="316"/>
      <c r="K439" s="317"/>
      <c r="L439" s="318"/>
      <c r="M439" s="468">
        <f>'Punten per wedstrijd'!E78*1.2</f>
        <v>79.2</v>
      </c>
      <c r="N439" s="468">
        <f>'Punten per wedstrijd'!E35</f>
        <v>118.99999999999994</v>
      </c>
      <c r="O439" s="313" t="s">
        <v>4556</v>
      </c>
      <c r="P439" s="320"/>
      <c r="Q439" s="324" t="s">
        <v>3846</v>
      </c>
      <c r="R439" s="317"/>
      <c r="S439" s="317"/>
      <c r="T439" s="317"/>
      <c r="U439" s="468">
        <f>'Punten per wedstrijd'!F182*1.2</f>
        <v>471.71999999999935</v>
      </c>
      <c r="V439" s="468">
        <f>'Punten per wedstrijd'!F180</f>
        <v>643.59999999999945</v>
      </c>
      <c r="W439" s="313" t="s">
        <v>4556</v>
      </c>
    </row>
    <row r="440" spans="1:26" ht="15.75">
      <c r="A440" s="324" t="s">
        <v>3644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4555</v>
      </c>
      <c r="H440" s="320"/>
      <c r="I440" s="324" t="s">
        <v>3842</v>
      </c>
      <c r="J440" s="316"/>
      <c r="K440" s="317"/>
      <c r="L440" s="318"/>
      <c r="M440" s="468">
        <f>'Punten per wedstrijd'!E91*1.2</f>
        <v>92.399999999999935</v>
      </c>
      <c r="N440" s="468">
        <f>'Punten per wedstrijd'!E27</f>
        <v>90.799999999999955</v>
      </c>
      <c r="O440" s="313" t="s">
        <v>4557</v>
      </c>
      <c r="P440" s="320"/>
      <c r="Q440" s="324" t="s">
        <v>3847</v>
      </c>
      <c r="R440" s="317"/>
      <c r="S440" s="317"/>
      <c r="T440" s="317"/>
      <c r="U440" s="468">
        <f>'Punten per wedstrijd'!F204*1.2</f>
        <v>587.39999999999884</v>
      </c>
      <c r="V440" s="468">
        <f>'Punten per wedstrijd'!F147</f>
        <v>514.09999999999945</v>
      </c>
      <c r="W440" s="313" t="s">
        <v>4557</v>
      </c>
    </row>
    <row r="441" spans="1:26" ht="15.75">
      <c r="A441" s="323"/>
      <c r="B441" s="320"/>
      <c r="C441" s="320"/>
      <c r="D441" s="316"/>
      <c r="E441" s="468"/>
      <c r="F441" s="468"/>
      <c r="G441" s="313"/>
      <c r="H441" s="320"/>
      <c r="I441" s="320"/>
      <c r="J441" s="316"/>
      <c r="K441" s="317"/>
      <c r="L441" s="318"/>
      <c r="M441" s="500"/>
      <c r="N441" s="500"/>
      <c r="O441" s="314"/>
      <c r="P441" s="320"/>
      <c r="Q441" s="316"/>
      <c r="R441" s="317"/>
      <c r="S441" s="317"/>
      <c r="T441" s="317"/>
      <c r="U441" s="500"/>
      <c r="V441" s="500"/>
      <c r="W441" s="314"/>
    </row>
    <row r="442" spans="1:26" s="39" customFormat="1" ht="15.75">
      <c r="A442" s="319" t="s">
        <v>2210</v>
      </c>
      <c r="B442" s="444"/>
      <c r="C442" s="444"/>
      <c r="D442" s="445"/>
      <c r="E442" s="468"/>
      <c r="F442" s="468"/>
      <c r="G442" s="447" t="s">
        <v>150</v>
      </c>
      <c r="H442" s="444"/>
      <c r="I442" s="319" t="s">
        <v>186</v>
      </c>
      <c r="J442" s="445"/>
      <c r="K442" s="444"/>
      <c r="L442" s="318"/>
      <c r="M442" s="500"/>
      <c r="N442" s="500"/>
      <c r="O442" s="447" t="s">
        <v>150</v>
      </c>
      <c r="P442" s="444"/>
      <c r="Q442" s="319" t="s">
        <v>175</v>
      </c>
      <c r="R442" s="444"/>
      <c r="S442" s="444"/>
      <c r="T442" s="444"/>
      <c r="U442" s="500"/>
      <c r="V442" s="500"/>
      <c r="W442" s="447" t="s">
        <v>150</v>
      </c>
    </row>
    <row r="443" spans="1:26" ht="15.75">
      <c r="A443" s="324" t="s">
        <v>3848</v>
      </c>
      <c r="B443" s="320"/>
      <c r="C443" s="320"/>
      <c r="D443" s="316"/>
      <c r="E443" s="468">
        <f>'Punten per wedstrijd'!F32*1.2</f>
        <v>307.67999999999984</v>
      </c>
      <c r="F443" s="468">
        <f>'Punten per wedstrijd'!F78</f>
        <v>259.69999999999959</v>
      </c>
      <c r="G443" s="313" t="s">
        <v>4557</v>
      </c>
      <c r="H443" s="320"/>
      <c r="I443" s="324" t="s">
        <v>3853</v>
      </c>
      <c r="J443" s="316"/>
      <c r="K443" s="317"/>
      <c r="L443" s="318"/>
      <c r="M443" s="468">
        <f>'Punten per wedstrijd'!G20*1.2</f>
        <v>109.44000000000005</v>
      </c>
      <c r="N443" s="468">
        <f>'Punten per wedstrijd'!G43</f>
        <v>236.19999999999936</v>
      </c>
      <c r="O443" s="313" t="s">
        <v>4556</v>
      </c>
      <c r="P443" s="320"/>
      <c r="Q443" s="324" t="s">
        <v>3858</v>
      </c>
      <c r="R443" s="317"/>
      <c r="S443" s="317"/>
      <c r="T443" s="317"/>
      <c r="U443" s="468">
        <f>'Punten per wedstrijd'!G147*1.5</f>
        <v>1030.3499999999995</v>
      </c>
      <c r="V443" s="468">
        <f>'Punten per wedstrijd'!G139</f>
        <v>498.49999999999955</v>
      </c>
      <c r="W443" s="313" t="s">
        <v>4555</v>
      </c>
    </row>
    <row r="444" spans="1:26" ht="15.75">
      <c r="A444" s="324" t="s">
        <v>3849</v>
      </c>
      <c r="B444" s="320"/>
      <c r="C444" s="320"/>
      <c r="D444" s="316"/>
      <c r="E444" s="468">
        <f>'Punten per wedstrijd'!F43*1.2</f>
        <v>553.20000000000027</v>
      </c>
      <c r="F444" s="468">
        <f>'Punten per wedstrijd'!F27</f>
        <v>237.09999999999991</v>
      </c>
      <c r="G444" s="313" t="s">
        <v>4555</v>
      </c>
      <c r="H444" s="320"/>
      <c r="I444" s="324" t="s">
        <v>3854</v>
      </c>
      <c r="J444" s="316"/>
      <c r="K444" s="317"/>
      <c r="L444" s="318"/>
      <c r="M444" s="468">
        <f>'Punten per wedstrijd'!G27*1.2</f>
        <v>682.91999999999985</v>
      </c>
      <c r="N444" s="468">
        <f>'Punten per wedstrijd'!G100</f>
        <v>163.099999999999</v>
      </c>
      <c r="O444" s="313" t="s">
        <v>4555</v>
      </c>
      <c r="P444" s="320"/>
      <c r="Q444" s="324" t="s">
        <v>3859</v>
      </c>
      <c r="R444" s="317"/>
      <c r="S444" s="317"/>
      <c r="T444" s="317"/>
      <c r="U444" s="468">
        <f>'Punten per wedstrijd'!G158*1.5</f>
        <v>1084.0499999999997</v>
      </c>
      <c r="V444" s="468">
        <f>'Punten per wedstrijd'!G182</f>
        <v>702.19999999999891</v>
      </c>
      <c r="W444" s="313" t="s">
        <v>4555</v>
      </c>
    </row>
    <row r="445" spans="1:26" ht="15.75">
      <c r="A445" s="324" t="s">
        <v>3850</v>
      </c>
      <c r="B445" s="320"/>
      <c r="C445" s="320"/>
      <c r="D445" s="316"/>
      <c r="E445" s="468">
        <f>'Punten per wedstrijd'!F54*1.2</f>
        <v>40.920000000000165</v>
      </c>
      <c r="F445" s="468">
        <f>'Punten per wedstrijd'!F20</f>
        <v>6.0000000000002274</v>
      </c>
      <c r="G445" s="313" t="s">
        <v>4555</v>
      </c>
      <c r="H445" s="320"/>
      <c r="I445" s="324" t="s">
        <v>3855</v>
      </c>
      <c r="J445" s="316"/>
      <c r="K445" s="317"/>
      <c r="L445" s="318"/>
      <c r="M445" s="468">
        <f>'Punten per wedstrijd'!G32*1.2</f>
        <v>284.1600000000002</v>
      </c>
      <c r="N445" s="468">
        <f>'Punten per wedstrijd'!G76</f>
        <v>314.59999999999945</v>
      </c>
      <c r="O445" s="313" t="s">
        <v>4554</v>
      </c>
      <c r="P445" s="320"/>
      <c r="Q445" s="324" t="s">
        <v>3860</v>
      </c>
      <c r="R445" s="317"/>
      <c r="S445" s="317"/>
      <c r="T445" s="317"/>
      <c r="U445" s="468">
        <f>'Punten per wedstrijd'!G180*1.5</f>
        <v>855.29999999999973</v>
      </c>
      <c r="V445" s="468">
        <f>'Punten per wedstrijd'!G131</f>
        <v>717.80000000000018</v>
      </c>
      <c r="W445" s="313" t="s">
        <v>4557</v>
      </c>
    </row>
    <row r="446" spans="1:26" ht="15.75">
      <c r="A446" s="324" t="s">
        <v>3851</v>
      </c>
      <c r="B446" s="320"/>
      <c r="C446" s="320"/>
      <c r="D446" s="316"/>
      <c r="E446" s="468">
        <f>'Punten per wedstrijd'!F76*1.2</f>
        <v>565.43999999999926</v>
      </c>
      <c r="F446" s="468">
        <f>'Punten per wedstrijd'!F100</f>
        <v>200.20000000000027</v>
      </c>
      <c r="G446" s="313" t="s">
        <v>4555</v>
      </c>
      <c r="H446" s="320"/>
      <c r="I446" s="324" t="s">
        <v>3856</v>
      </c>
      <c r="J446" s="316"/>
      <c r="K446" s="317"/>
      <c r="L446" s="318"/>
      <c r="M446" s="468">
        <f>'Punten per wedstrijd'!G35*1.2</f>
        <v>683.63999999999976</v>
      </c>
      <c r="N446" s="468">
        <f>'Punten per wedstrijd'!G54</f>
        <v>81.699999999999363</v>
      </c>
      <c r="O446" s="313" t="s">
        <v>4555</v>
      </c>
      <c r="P446" s="320"/>
      <c r="Q446" s="324" t="s">
        <v>3861</v>
      </c>
      <c r="R446" s="317"/>
      <c r="S446" s="317"/>
      <c r="T446" s="317"/>
      <c r="U446" s="468">
        <f>'Punten per wedstrijd'!G195*1.5</f>
        <v>1031.7000000000003</v>
      </c>
      <c r="V446" s="468">
        <f>'Punten per wedstrijd'!G136</f>
        <v>748.50000000000045</v>
      </c>
      <c r="W446" s="313" t="s">
        <v>4555</v>
      </c>
    </row>
    <row r="447" spans="1:26" ht="15.75">
      <c r="A447" s="324" t="s">
        <v>3852</v>
      </c>
      <c r="B447" s="320"/>
      <c r="C447" s="320"/>
      <c r="D447" s="316"/>
      <c r="E447" s="468">
        <f>'Punten per wedstrijd'!F91*1.2</f>
        <v>241.80000000000081</v>
      </c>
      <c r="F447" s="468">
        <f>'Punten per wedstrijd'!F35</f>
        <v>290.59999999999991</v>
      </c>
      <c r="G447" s="313" t="s">
        <v>4554</v>
      </c>
      <c r="H447" s="320"/>
      <c r="I447" s="324" t="s">
        <v>3857</v>
      </c>
      <c r="J447" s="316"/>
      <c r="K447" s="317"/>
      <c r="L447" s="318"/>
      <c r="M447" s="468">
        <f>'Punten per wedstrijd'!G78*1.2</f>
        <v>450.71999999999935</v>
      </c>
      <c r="N447" s="468">
        <f>'Punten per wedstrijd'!G91</f>
        <v>250.50000000000023</v>
      </c>
      <c r="O447" s="313" t="s">
        <v>4555</v>
      </c>
      <c r="P447" s="320"/>
      <c r="Q447" s="324" t="s">
        <v>3862</v>
      </c>
      <c r="R447" s="317"/>
      <c r="S447" s="317"/>
      <c r="T447" s="317"/>
      <c r="U447" s="468">
        <f>'Punten per wedstrijd'!G204*1.5</f>
        <v>1390.6499999999978</v>
      </c>
      <c r="V447" s="468">
        <f>'Punten per wedstrijd'!G124</f>
        <v>676.30000000000086</v>
      </c>
      <c r="W447" s="313" t="s">
        <v>4555</v>
      </c>
    </row>
    <row r="448" spans="1:26" ht="15.75">
      <c r="A448" s="323"/>
      <c r="B448" s="320"/>
      <c r="C448" s="320"/>
      <c r="D448" s="316"/>
      <c r="E448" s="468"/>
      <c r="F448" s="468"/>
      <c r="G448" s="311"/>
      <c r="H448" s="320"/>
      <c r="I448" s="316"/>
      <c r="J448" s="316"/>
      <c r="K448" s="317"/>
      <c r="L448" s="318"/>
      <c r="M448" s="500"/>
      <c r="N448" s="500"/>
      <c r="O448" s="314"/>
      <c r="P448" s="320"/>
      <c r="Q448" s="317"/>
      <c r="R448" s="317"/>
      <c r="S448" s="317"/>
      <c r="T448" s="317"/>
      <c r="U448" s="500"/>
      <c r="V448" s="500"/>
      <c r="W448" s="314"/>
    </row>
    <row r="449" spans="1:24" s="39" customFormat="1" ht="15.75">
      <c r="A449" s="319" t="s">
        <v>187</v>
      </c>
      <c r="B449" s="444"/>
      <c r="C449" s="444"/>
      <c r="D449" s="445"/>
      <c r="E449" s="468"/>
      <c r="F449" s="468"/>
      <c r="G449" s="447" t="s">
        <v>150</v>
      </c>
      <c r="H449" s="444"/>
      <c r="I449" s="319" t="s">
        <v>188</v>
      </c>
      <c r="J449" s="445"/>
      <c r="K449" s="444"/>
      <c r="L449" s="318"/>
      <c r="M449" s="500"/>
      <c r="N449" s="500"/>
      <c r="O449" s="447" t="s">
        <v>150</v>
      </c>
      <c r="P449" s="444"/>
      <c r="Q449" s="319" t="s">
        <v>2211</v>
      </c>
      <c r="R449" s="444"/>
      <c r="S449" s="444"/>
      <c r="T449" s="444"/>
      <c r="U449" s="500"/>
      <c r="V449" s="500"/>
      <c r="W449" s="447" t="s">
        <v>150</v>
      </c>
    </row>
    <row r="450" spans="1:24" ht="15.75">
      <c r="A450" s="324" t="s">
        <v>3863</v>
      </c>
      <c r="B450" s="320"/>
      <c r="C450" s="320"/>
      <c r="D450" s="316"/>
      <c r="E450" s="468">
        <f>'Punten per wedstrijd'!H124*1.2</f>
        <v>424.44000000000142</v>
      </c>
      <c r="F450" s="468">
        <f>'Punten per wedstrijd'!H131</f>
        <v>786.50000000000091</v>
      </c>
      <c r="G450" s="313" t="s">
        <v>4556</v>
      </c>
      <c r="H450" s="320"/>
      <c r="I450" s="324" t="s">
        <v>3868</v>
      </c>
      <c r="J450" s="316"/>
      <c r="K450" s="317"/>
      <c r="L450" s="318"/>
      <c r="M450" s="468">
        <f>'Punten per wedstrijd'!H20*1.2</f>
        <v>728.15999999999963</v>
      </c>
      <c r="N450" s="468">
        <f>'Punten per wedstrijd'!H76</f>
        <v>671.09999999999991</v>
      </c>
      <c r="O450" s="313" t="s">
        <v>4557</v>
      </c>
      <c r="P450" s="320"/>
      <c r="Q450" s="324" t="s">
        <v>3871</v>
      </c>
      <c r="R450" s="317"/>
      <c r="S450" s="317"/>
      <c r="T450" s="317"/>
      <c r="U450" s="468">
        <f>'Punten per wedstrijd'!I136*1.2</f>
        <v>829.19999999999891</v>
      </c>
      <c r="V450" s="468">
        <f>'Punten per wedstrijd'!I204</f>
        <v>770.30000000000109</v>
      </c>
      <c r="W450" s="313" t="s">
        <v>4557</v>
      </c>
    </row>
    <row r="451" spans="1:24" ht="15.75">
      <c r="A451" s="324" t="s">
        <v>3864</v>
      </c>
      <c r="B451" s="320"/>
      <c r="C451" s="320"/>
      <c r="D451" s="316"/>
      <c r="E451" s="468">
        <f>'Punten per wedstrijd'!H136*1.2</f>
        <v>676.91999999999985</v>
      </c>
      <c r="F451" s="468">
        <f>'Punten per wedstrijd'!H158</f>
        <v>640.80000000000018</v>
      </c>
      <c r="G451" s="313" t="s">
        <v>4557</v>
      </c>
      <c r="H451" s="320"/>
      <c r="I451" s="324" t="s">
        <v>3869</v>
      </c>
      <c r="J451" s="316"/>
      <c r="K451" s="317"/>
      <c r="L451" s="318"/>
      <c r="M451" s="468">
        <f>'Punten per wedstrijd'!H27*1.2</f>
        <v>704.76000000000022</v>
      </c>
      <c r="N451" s="468">
        <f>'Punten per wedstrijd'!H35</f>
        <v>537.5</v>
      </c>
      <c r="O451" s="313" t="s">
        <v>4555</v>
      </c>
      <c r="P451" s="320"/>
      <c r="Q451" s="324" t="s">
        <v>3872</v>
      </c>
      <c r="R451" s="317"/>
      <c r="S451" s="317"/>
      <c r="T451" s="317"/>
      <c r="U451" s="468">
        <f>'Punten per wedstrijd'!I139*1.2</f>
        <v>797.04000000000087</v>
      </c>
      <c r="V451" s="468">
        <f>'Punten per wedstrijd'!I124</f>
        <v>562.69999999999982</v>
      </c>
      <c r="W451" s="313" t="s">
        <v>4555</v>
      </c>
    </row>
    <row r="452" spans="1:24" ht="15.75">
      <c r="A452" s="324" t="s">
        <v>3865</v>
      </c>
      <c r="B452" s="320"/>
      <c r="C452" s="320"/>
      <c r="D452" s="316"/>
      <c r="E452" s="468">
        <f>'Punten per wedstrijd'!H139*1.2</f>
        <v>797.4</v>
      </c>
      <c r="F452" s="468">
        <f>'Punten per wedstrijd'!H204</f>
        <v>679.29999999999927</v>
      </c>
      <c r="G452" s="313" t="s">
        <v>4557</v>
      </c>
      <c r="H452" s="320"/>
      <c r="I452" s="324" t="s">
        <v>3870</v>
      </c>
      <c r="J452" s="316"/>
      <c r="K452" s="317"/>
      <c r="L452" s="318"/>
      <c r="M452" s="468">
        <f>'Punten per wedstrijd'!H43*1.2</f>
        <v>744.77999999999849</v>
      </c>
      <c r="N452" s="468">
        <f>'Punten per wedstrijd'!H32</f>
        <v>429.39999999999964</v>
      </c>
      <c r="O452" s="313" t="s">
        <v>4555</v>
      </c>
      <c r="P452" s="320"/>
      <c r="Q452" s="324" t="s">
        <v>3873</v>
      </c>
      <c r="R452" s="317"/>
      <c r="S452" s="317"/>
      <c r="T452" s="317"/>
      <c r="U452" s="468">
        <f>'Punten per wedstrijd'!I180*1.2</f>
        <v>1083.3600000000035</v>
      </c>
      <c r="V452" s="468">
        <f>'Punten per wedstrijd'!I158</f>
        <v>865.99999999999909</v>
      </c>
      <c r="W452" s="313" t="s">
        <v>4555</v>
      </c>
    </row>
    <row r="453" spans="1:24" ht="15.75">
      <c r="A453" s="324" t="s">
        <v>3866</v>
      </c>
      <c r="B453" s="320"/>
      <c r="C453" s="320"/>
      <c r="D453" s="316"/>
      <c r="E453" s="468">
        <f>'Punten per wedstrijd'!H182*1.2</f>
        <v>240.59999999999889</v>
      </c>
      <c r="F453" s="468">
        <f>'Punten per wedstrijd'!H147</f>
        <v>367.19999999999982</v>
      </c>
      <c r="G453" s="313" t="s">
        <v>4556</v>
      </c>
      <c r="H453" s="320"/>
      <c r="I453" s="324" t="s">
        <v>2222</v>
      </c>
      <c r="J453" s="316"/>
      <c r="K453" s="317"/>
      <c r="L453" s="318"/>
      <c r="M453" s="468">
        <f>'Punten per wedstrijd'!H54*1.2</f>
        <v>460.32000000000045</v>
      </c>
      <c r="N453" s="468">
        <f>'Punten per wedstrijd'!H91</f>
        <v>485.90000000000009</v>
      </c>
      <c r="O453" s="313" t="s">
        <v>4554</v>
      </c>
      <c r="P453" s="320"/>
      <c r="Q453" s="324" t="s">
        <v>3874</v>
      </c>
      <c r="R453" s="317"/>
      <c r="S453" s="317"/>
      <c r="T453" s="317"/>
      <c r="U453" s="468">
        <f>'Punten per wedstrijd'!I182*1.2</f>
        <v>289.56000000000023</v>
      </c>
      <c r="V453" s="468">
        <f>'Punten per wedstrijd'!I131</f>
        <v>1155.0999999999985</v>
      </c>
      <c r="W453" s="313" t="s">
        <v>4556</v>
      </c>
    </row>
    <row r="454" spans="1:24" ht="15.75">
      <c r="A454" s="324" t="s">
        <v>3867</v>
      </c>
      <c r="B454" s="320"/>
      <c r="C454" s="320"/>
      <c r="D454" s="316"/>
      <c r="E454" s="468">
        <f>'Punten per wedstrijd'!H195*1.2</f>
        <v>149.40000000000055</v>
      </c>
      <c r="F454" s="468">
        <f>'Punten per wedstrijd'!H180</f>
        <v>608.099999999999</v>
      </c>
      <c r="G454" s="313" t="s">
        <v>4556</v>
      </c>
      <c r="H454" s="316"/>
      <c r="I454" s="324" t="s">
        <v>2295</v>
      </c>
      <c r="J454" s="316"/>
      <c r="K454" s="317"/>
      <c r="L454" s="318"/>
      <c r="M454" s="468">
        <f>'Punten per wedstrijd'!H100*1.2</f>
        <v>665.39999999999884</v>
      </c>
      <c r="N454" s="468">
        <f>'Punten per wedstrijd'!H78</f>
        <v>529.49999999999909</v>
      </c>
      <c r="O454" s="313" t="s">
        <v>4555</v>
      </c>
      <c r="P454" s="317"/>
      <c r="Q454" s="324" t="s">
        <v>3875</v>
      </c>
      <c r="R454" s="317"/>
      <c r="S454" s="317"/>
      <c r="T454" s="317"/>
      <c r="U454" s="468">
        <f>'Punten per wedstrijd'!I195*1.2</f>
        <v>544.79999999999779</v>
      </c>
      <c r="V454" s="468">
        <f>'Punten per wedstrijd'!I147</f>
        <v>376.30000000000109</v>
      </c>
      <c r="W454" s="313" t="s">
        <v>4555</v>
      </c>
      <c r="X454" s="28"/>
    </row>
    <row r="455" spans="1:24" ht="15.75">
      <c r="A455" s="322"/>
      <c r="B455" s="320"/>
      <c r="C455" s="320"/>
      <c r="D455" s="316"/>
      <c r="E455" s="468"/>
      <c r="F455" s="468"/>
      <c r="G455" s="311"/>
      <c r="H455" s="316"/>
      <c r="I455" s="315"/>
      <c r="J455" s="316"/>
      <c r="K455" s="317"/>
      <c r="L455" s="318"/>
      <c r="M455" s="500"/>
      <c r="N455" s="500"/>
      <c r="O455" s="314"/>
      <c r="P455" s="317"/>
      <c r="Q455" s="315"/>
      <c r="R455" s="317"/>
      <c r="S455" s="317"/>
      <c r="T455" s="317"/>
      <c r="U455" s="500"/>
      <c r="V455" s="500"/>
      <c r="W455" s="314"/>
      <c r="X455" s="28"/>
    </row>
    <row r="456" spans="1:24" s="39" customFormat="1" ht="15.75">
      <c r="A456" s="319" t="s">
        <v>2212</v>
      </c>
      <c r="B456" s="444"/>
      <c r="C456" s="444"/>
      <c r="D456" s="445"/>
      <c r="E456" s="468"/>
      <c r="F456" s="468"/>
      <c r="G456" s="447" t="s">
        <v>150</v>
      </c>
      <c r="H456" s="444"/>
      <c r="I456" s="319" t="s">
        <v>3536</v>
      </c>
      <c r="J456" s="445"/>
      <c r="K456" s="444"/>
      <c r="L456" s="318"/>
      <c r="M456" s="500"/>
      <c r="N456" s="500"/>
      <c r="O456" s="447" t="s">
        <v>150</v>
      </c>
      <c r="P456" s="444"/>
      <c r="Q456" s="319" t="s">
        <v>3537</v>
      </c>
      <c r="R456" s="444"/>
      <c r="S456" s="444"/>
      <c r="T456" s="444"/>
      <c r="U456" s="500"/>
      <c r="V456" s="500"/>
      <c r="W456" s="447" t="s">
        <v>150</v>
      </c>
    </row>
    <row r="457" spans="1:24" ht="15.75">
      <c r="A457" s="324" t="s">
        <v>4349</v>
      </c>
      <c r="B457" s="320"/>
      <c r="C457" s="320"/>
      <c r="D457" s="316"/>
      <c r="E457" s="468">
        <f>'Punten per wedstrijd'!I78*1.2</f>
        <v>65.16</v>
      </c>
      <c r="F457" s="468">
        <f>'Punten per wedstrijd'!I20</f>
        <v>338.5</v>
      </c>
      <c r="G457" s="313" t="s">
        <v>4556</v>
      </c>
      <c r="H457" s="320"/>
      <c r="I457" s="324" t="s">
        <v>4350</v>
      </c>
      <c r="J457" s="316"/>
      <c r="K457" s="317"/>
      <c r="L457" s="318"/>
      <c r="M457" s="468">
        <f>'Punten per wedstrijd'!J20*1.2</f>
        <v>580.19999999999993</v>
      </c>
      <c r="N457" s="468">
        <f>'Punten per wedstrijd'!J32</f>
        <v>490.15</v>
      </c>
      <c r="O457" s="313" t="s">
        <v>4557</v>
      </c>
      <c r="P457" s="320"/>
      <c r="Q457" s="324" t="s">
        <v>4351</v>
      </c>
      <c r="R457" s="317"/>
      <c r="S457" s="317"/>
      <c r="T457" s="317"/>
      <c r="U457" s="468">
        <f>'Punten per wedstrijd'!K91*1.2</f>
        <v>168</v>
      </c>
      <c r="V457" s="468">
        <f>'Punten per wedstrijd'!K20</f>
        <v>179.5</v>
      </c>
      <c r="W457" s="313" t="s">
        <v>4554</v>
      </c>
      <c r="X457" s="28"/>
    </row>
    <row r="458" spans="1:24" ht="15.75">
      <c r="A458" s="324" t="s">
        <v>4352</v>
      </c>
      <c r="B458" s="320"/>
      <c r="C458" s="320"/>
      <c r="D458" s="316"/>
      <c r="E458" s="468">
        <f>'Punten per wedstrijd'!I32*1.2</f>
        <v>261.59999999999997</v>
      </c>
      <c r="F458" s="468">
        <f>'Punten per wedstrijd'!I27</f>
        <v>117</v>
      </c>
      <c r="G458" s="313" t="s">
        <v>4555</v>
      </c>
      <c r="H458" s="320"/>
      <c r="I458" s="324" t="s">
        <v>4353</v>
      </c>
      <c r="J458" s="316"/>
      <c r="K458" s="317"/>
      <c r="L458" s="318"/>
      <c r="M458" s="468">
        <f>'Punten per wedstrijd'!J100*1.2</f>
        <v>535.68000000000006</v>
      </c>
      <c r="N458" s="468">
        <f>'Punten per wedstrijd'!J54</f>
        <v>419</v>
      </c>
      <c r="O458" s="313" t="s">
        <v>4555</v>
      </c>
      <c r="P458" s="320"/>
      <c r="Q458" s="324" t="s">
        <v>4354</v>
      </c>
      <c r="R458" s="317"/>
      <c r="S458" s="317"/>
      <c r="T458" s="317"/>
      <c r="U458" s="468">
        <f>'Punten per wedstrijd'!K54*1.2</f>
        <v>287.88</v>
      </c>
      <c r="V458" s="468">
        <f>'Punten per wedstrijd'!K27</f>
        <v>258.60000000000002</v>
      </c>
      <c r="W458" s="313" t="s">
        <v>4557</v>
      </c>
      <c r="X458" s="28"/>
    </row>
    <row r="459" spans="1:24" ht="15.75">
      <c r="A459" s="324" t="s">
        <v>4355</v>
      </c>
      <c r="B459" s="320"/>
      <c r="C459" s="320"/>
      <c r="D459" s="316"/>
      <c r="E459" s="468">
        <f>'Punten per wedstrijd'!I76*1.2</f>
        <v>357.12</v>
      </c>
      <c r="F459" s="468">
        <f>'Punten per wedstrijd'!I35</f>
        <v>163.1</v>
      </c>
      <c r="G459" s="313" t="s">
        <v>4555</v>
      </c>
      <c r="H459" s="320"/>
      <c r="I459" s="324" t="s">
        <v>4356</v>
      </c>
      <c r="J459" s="316"/>
      <c r="K459" s="317"/>
      <c r="L459" s="318"/>
      <c r="M459" s="468">
        <f>'Punten per wedstrijd'!J43*1.2</f>
        <v>714.9</v>
      </c>
      <c r="N459" s="468">
        <f>'Punten per wedstrijd'!J76</f>
        <v>479.20000000000005</v>
      </c>
      <c r="O459" s="313" t="s">
        <v>4555</v>
      </c>
      <c r="P459" s="320"/>
      <c r="Q459" s="324" t="s">
        <v>4357</v>
      </c>
      <c r="R459" s="317"/>
      <c r="S459" s="317"/>
      <c r="T459" s="317"/>
      <c r="U459" s="468">
        <f>'Punten per wedstrijd'!K32*1.2</f>
        <v>275.88</v>
      </c>
      <c r="V459" s="468">
        <f>'Punten per wedstrijd'!K35</f>
        <v>140</v>
      </c>
      <c r="W459" s="313" t="s">
        <v>4555</v>
      </c>
      <c r="X459" s="28"/>
    </row>
    <row r="460" spans="1:24" ht="15.75">
      <c r="A460" s="324" t="s">
        <v>4358</v>
      </c>
      <c r="B460" s="320"/>
      <c r="C460" s="320"/>
      <c r="D460" s="316"/>
      <c r="E460" s="468">
        <f>'Punten per wedstrijd'!I54*1.2</f>
        <v>261.59999999999997</v>
      </c>
      <c r="F460" s="468">
        <f>'Punten per wedstrijd'!I43</f>
        <v>334.8</v>
      </c>
      <c r="G460" s="313" t="s">
        <v>4556</v>
      </c>
      <c r="H460" s="320"/>
      <c r="I460" s="324" t="s">
        <v>4359</v>
      </c>
      <c r="J460" s="316"/>
      <c r="K460" s="317"/>
      <c r="L460" s="318"/>
      <c r="M460" s="468">
        <f>'Punten per wedstrijd'!J35*1.2</f>
        <v>633.4799999999999</v>
      </c>
      <c r="N460" s="468">
        <f>'Punten per wedstrijd'!J78</f>
        <v>605.49999999999989</v>
      </c>
      <c r="O460" s="313" t="s">
        <v>4557</v>
      </c>
      <c r="P460" s="320"/>
      <c r="Q460" s="324" t="s">
        <v>4360</v>
      </c>
      <c r="R460" s="317"/>
      <c r="S460" s="317"/>
      <c r="T460" s="317"/>
      <c r="U460" s="468">
        <f>'Punten per wedstrijd'!K76*1.2</f>
        <v>414.36</v>
      </c>
      <c r="V460" s="468">
        <f>'Punten per wedstrijd'!K78</f>
        <v>145.19999999999999</v>
      </c>
      <c r="W460" s="313" t="s">
        <v>4555</v>
      </c>
      <c r="X460" s="28"/>
    </row>
    <row r="461" spans="1:24" ht="15.75">
      <c r="A461" s="324" t="s">
        <v>4361</v>
      </c>
      <c r="B461" s="320"/>
      <c r="C461" s="320"/>
      <c r="D461" s="316"/>
      <c r="E461" s="468">
        <f>'Punten per wedstrijd'!I91*1.2</f>
        <v>373.68</v>
      </c>
      <c r="F461" s="468">
        <f>'Punten per wedstrijd'!I100</f>
        <v>499</v>
      </c>
      <c r="G461" s="313" t="s">
        <v>4556</v>
      </c>
      <c r="H461" s="320"/>
      <c r="I461" s="324" t="s">
        <v>4362</v>
      </c>
      <c r="J461" s="316"/>
      <c r="K461" s="317"/>
      <c r="L461" s="318"/>
      <c r="M461" s="468">
        <f>'Punten per wedstrijd'!J27*1.2</f>
        <v>600.4799999999999</v>
      </c>
      <c r="N461" s="468">
        <f>'Punten per wedstrijd'!J91</f>
        <v>504.09999999999997</v>
      </c>
      <c r="O461" s="313" t="s">
        <v>4557</v>
      </c>
      <c r="P461" s="320"/>
      <c r="Q461" s="324" t="s">
        <v>4363</v>
      </c>
      <c r="R461" s="317"/>
      <c r="S461" s="317"/>
      <c r="T461" s="317"/>
      <c r="U461" s="468">
        <f>'Punten per wedstrijd'!K43*1.2</f>
        <v>184.43999999999997</v>
      </c>
      <c r="V461" s="468">
        <f>'Punten per wedstrijd'!K100</f>
        <v>383.1</v>
      </c>
      <c r="W461" s="313" t="s">
        <v>4556</v>
      </c>
      <c r="X461" s="28"/>
    </row>
    <row r="462" spans="1:24" ht="15.75">
      <c r="A462" s="323"/>
      <c r="B462" s="320"/>
      <c r="C462" s="320"/>
      <c r="D462" s="316"/>
      <c r="E462" s="468"/>
      <c r="F462" s="468"/>
      <c r="G462" s="313"/>
      <c r="H462" s="320"/>
      <c r="I462" s="320"/>
      <c r="J462" s="316"/>
      <c r="K462" s="317"/>
      <c r="L462" s="318"/>
      <c r="M462" s="500"/>
      <c r="N462" s="500"/>
      <c r="O462" s="314"/>
      <c r="P462" s="320"/>
      <c r="Q462" s="316"/>
      <c r="R462" s="317"/>
      <c r="S462" s="317"/>
      <c r="T462" s="317"/>
      <c r="U462" s="500"/>
      <c r="V462" s="500"/>
      <c r="W462" s="314"/>
      <c r="X462" s="28"/>
    </row>
    <row r="463" spans="1:24" s="39" customFormat="1" ht="15.75">
      <c r="A463" s="319" t="s">
        <v>191</v>
      </c>
      <c r="B463" s="444"/>
      <c r="C463" s="444"/>
      <c r="D463" s="445"/>
      <c r="E463" s="468"/>
      <c r="F463" s="468"/>
      <c r="G463" s="447" t="s">
        <v>150</v>
      </c>
      <c r="H463" s="444"/>
      <c r="I463" s="319" t="s">
        <v>192</v>
      </c>
      <c r="J463" s="445"/>
      <c r="K463" s="444"/>
      <c r="L463" s="318"/>
      <c r="M463" s="500"/>
      <c r="N463" s="500"/>
      <c r="O463" s="447" t="s">
        <v>150</v>
      </c>
      <c r="P463" s="444"/>
      <c r="Q463" s="319" t="s">
        <v>195</v>
      </c>
      <c r="R463" s="444"/>
      <c r="S463" s="444"/>
      <c r="T463" s="444"/>
      <c r="U463" s="500"/>
      <c r="V463" s="500"/>
      <c r="W463" s="447" t="s">
        <v>150</v>
      </c>
    </row>
    <row r="464" spans="1:24" ht="15.75">
      <c r="A464" s="324" t="s">
        <v>4364</v>
      </c>
      <c r="B464" s="320"/>
      <c r="C464" s="320"/>
      <c r="D464" s="316"/>
      <c r="E464" s="468">
        <f>'Punten per wedstrijd'!L78*1.2</f>
        <v>164.88</v>
      </c>
      <c r="F464" s="468">
        <f>'Punten per wedstrijd'!L32</f>
        <v>144.9</v>
      </c>
      <c r="G464" s="313" t="s">
        <v>4557</v>
      </c>
      <c r="H464" s="320"/>
      <c r="I464" s="324" t="s">
        <v>4365</v>
      </c>
      <c r="J464" s="316"/>
      <c r="K464" s="317"/>
      <c r="L464" s="318"/>
      <c r="M464" s="468">
        <f>'Punten per wedstrijd'!M43*1.2</f>
        <v>692.76000000000238</v>
      </c>
      <c r="N464" s="468">
        <f>'Punten per wedstrijd'!M20</f>
        <v>433.99999999999909</v>
      </c>
      <c r="O464" s="313" t="s">
        <v>4555</v>
      </c>
      <c r="P464" s="320"/>
      <c r="Q464" s="324" t="s">
        <v>4366</v>
      </c>
      <c r="R464" s="317"/>
      <c r="S464" s="317"/>
      <c r="T464" s="317"/>
      <c r="U464" s="468"/>
      <c r="V464" s="468"/>
      <c r="W464" s="313"/>
      <c r="X464" s="28"/>
    </row>
    <row r="465" spans="1:26" ht="15.75">
      <c r="A465" s="324" t="s">
        <v>4367</v>
      </c>
      <c r="B465" s="320"/>
      <c r="C465" s="320"/>
      <c r="D465" s="316"/>
      <c r="E465" s="468">
        <f>'Punten per wedstrijd'!L27*1.2</f>
        <v>155.16</v>
      </c>
      <c r="F465" s="468">
        <f>'Punten per wedstrijd'!L43</f>
        <v>255.8</v>
      </c>
      <c r="G465" s="313" t="s">
        <v>4556</v>
      </c>
      <c r="H465" s="320"/>
      <c r="I465" s="324" t="s">
        <v>4368</v>
      </c>
      <c r="J465" s="316"/>
      <c r="K465" s="317"/>
      <c r="L465" s="318"/>
      <c r="M465" s="468">
        <f>'Punten per wedstrijd'!M100*1.2</f>
        <v>583.79999999999995</v>
      </c>
      <c r="N465" s="468">
        <f>'Punten per wedstrijd'!M27</f>
        <v>524.10000000000036</v>
      </c>
      <c r="O465" s="313" t="s">
        <v>4557</v>
      </c>
      <c r="P465" s="320"/>
      <c r="Q465" s="324" t="s">
        <v>4369</v>
      </c>
      <c r="R465" s="317"/>
      <c r="S465" s="317"/>
      <c r="T465" s="317"/>
      <c r="U465" s="468"/>
      <c r="V465" s="468"/>
      <c r="W465" s="314"/>
      <c r="X465" s="28"/>
    </row>
    <row r="466" spans="1:26" ht="15.75">
      <c r="A466" s="324" t="s">
        <v>4370</v>
      </c>
      <c r="B466" s="320"/>
      <c r="C466" s="320"/>
      <c r="D466" s="316"/>
      <c r="E466" s="468">
        <f>'Punten per wedstrijd'!L20*1.2</f>
        <v>126.47999999999999</v>
      </c>
      <c r="F466" s="468">
        <f>'Punten per wedstrijd'!L54</f>
        <v>30.1</v>
      </c>
      <c r="G466" s="313" t="s">
        <v>4555</v>
      </c>
      <c r="H466" s="320"/>
      <c r="I466" s="324" t="s">
        <v>4371</v>
      </c>
      <c r="J466" s="316"/>
      <c r="K466" s="317"/>
      <c r="L466" s="318"/>
      <c r="M466" s="468">
        <f>'Punten per wedstrijd'!M76*1.2</f>
        <v>667.56000000000347</v>
      </c>
      <c r="N466" s="468">
        <f>'Punten per wedstrijd'!M32</f>
        <v>398.60000000000127</v>
      </c>
      <c r="O466" s="313" t="s">
        <v>4555</v>
      </c>
      <c r="P466" s="320"/>
      <c r="Q466" s="324" t="s">
        <v>4372</v>
      </c>
      <c r="R466" s="317"/>
      <c r="S466" s="317"/>
      <c r="T466" s="317"/>
      <c r="U466" s="468"/>
      <c r="V466" s="468"/>
      <c r="W466" s="313"/>
      <c r="X466" s="28"/>
    </row>
    <row r="467" spans="1:26" ht="15.75">
      <c r="A467" s="324" t="s">
        <v>4373</v>
      </c>
      <c r="B467" s="320"/>
      <c r="C467" s="320"/>
      <c r="D467" s="316"/>
      <c r="E467" s="468">
        <f>'Punten per wedstrijd'!L100*1.2</f>
        <v>356.16</v>
      </c>
      <c r="F467" s="468">
        <f>'Punten per wedstrijd'!L76</f>
        <v>440.8</v>
      </c>
      <c r="G467" s="313" t="s">
        <v>4556</v>
      </c>
      <c r="H467" s="320"/>
      <c r="I467" s="324" t="s">
        <v>4374</v>
      </c>
      <c r="J467" s="316"/>
      <c r="K467" s="317"/>
      <c r="L467" s="318"/>
      <c r="M467" s="468">
        <f>'Punten per wedstrijd'!M54*1.2</f>
        <v>480.72000000000151</v>
      </c>
      <c r="N467" s="468">
        <f>'Punten per wedstrijd'!M35</f>
        <v>565.10000000000127</v>
      </c>
      <c r="O467" s="313" t="s">
        <v>4554</v>
      </c>
      <c r="P467" s="320"/>
      <c r="Q467" s="324" t="s">
        <v>4375</v>
      </c>
      <c r="R467" s="317"/>
      <c r="S467" s="317"/>
      <c r="T467" s="317"/>
      <c r="U467" s="468"/>
      <c r="V467" s="468"/>
      <c r="W467" s="314"/>
      <c r="X467" s="28"/>
    </row>
    <row r="468" spans="1:26" ht="15.75">
      <c r="A468" s="324" t="s">
        <v>4376</v>
      </c>
      <c r="B468" s="320"/>
      <c r="C468" s="320"/>
      <c r="D468" s="316"/>
      <c r="E468" s="468">
        <f>'Punten per wedstrijd'!L35*1.2</f>
        <v>144.35999999999999</v>
      </c>
      <c r="F468" s="468">
        <f>'Punten per wedstrijd'!L91</f>
        <v>138.1</v>
      </c>
      <c r="G468" s="313" t="s">
        <v>4557</v>
      </c>
      <c r="H468" s="320"/>
      <c r="I468" s="324" t="s">
        <v>4377</v>
      </c>
      <c r="J468" s="316"/>
      <c r="K468" s="317"/>
      <c r="L468" s="318"/>
      <c r="M468" s="468">
        <f>'Punten per wedstrijd'!M91*1.2</f>
        <v>522</v>
      </c>
      <c r="N468" s="468">
        <f>'Punten per wedstrijd'!M78</f>
        <v>535.30000000000018</v>
      </c>
      <c r="O468" s="313" t="s">
        <v>4554</v>
      </c>
      <c r="P468" s="320"/>
      <c r="Q468" s="324" t="s">
        <v>4378</v>
      </c>
      <c r="R468" s="317"/>
      <c r="S468" s="317"/>
      <c r="T468" s="317"/>
      <c r="U468" s="468"/>
      <c r="V468" s="468"/>
      <c r="W468" s="313"/>
      <c r="X468" s="28"/>
    </row>
    <row r="469" spans="1:26" ht="15.75">
      <c r="A469" s="323"/>
      <c r="B469" s="320"/>
      <c r="C469" s="320"/>
      <c r="D469" s="316"/>
      <c r="E469" s="468"/>
      <c r="F469" s="468"/>
      <c r="G469" s="311"/>
      <c r="H469" s="320"/>
      <c r="I469" s="316"/>
      <c r="J469" s="316"/>
      <c r="K469" s="317"/>
      <c r="L469" s="318"/>
      <c r="M469" s="500"/>
      <c r="N469" s="500"/>
      <c r="O469" s="314"/>
      <c r="P469" s="320"/>
      <c r="Q469" s="317"/>
      <c r="R469" s="317"/>
      <c r="S469" s="317"/>
      <c r="T469" s="317"/>
      <c r="U469" s="500"/>
      <c r="V469" s="500"/>
      <c r="W469" s="314"/>
      <c r="X469" s="28"/>
    </row>
    <row r="470" spans="1:26" s="39" customFormat="1" ht="15.75">
      <c r="A470" s="319" t="s">
        <v>193</v>
      </c>
      <c r="B470" s="444"/>
      <c r="C470" s="444"/>
      <c r="D470" s="445"/>
      <c r="E470" s="468"/>
      <c r="F470" s="468"/>
      <c r="G470" s="447" t="s">
        <v>150</v>
      </c>
      <c r="H470" s="444"/>
      <c r="I470" s="319" t="s">
        <v>194</v>
      </c>
      <c r="J470" s="445"/>
      <c r="K470" s="444"/>
      <c r="L470" s="318"/>
      <c r="M470" s="500"/>
      <c r="N470" s="500"/>
      <c r="O470" s="447" t="s">
        <v>150</v>
      </c>
      <c r="P470" s="444"/>
      <c r="Q470" s="319" t="s">
        <v>176</v>
      </c>
      <c r="R470" s="444"/>
      <c r="S470" s="444"/>
      <c r="T470" s="444"/>
      <c r="U470" s="500"/>
      <c r="V470" s="500"/>
      <c r="W470" s="447" t="s">
        <v>150</v>
      </c>
    </row>
    <row r="471" spans="1:26" ht="15.75">
      <c r="A471" s="324" t="s">
        <v>4379</v>
      </c>
      <c r="B471" s="320"/>
      <c r="C471" s="320"/>
      <c r="D471" s="316"/>
      <c r="E471" s="468"/>
      <c r="F471" s="468"/>
      <c r="G471" s="314"/>
      <c r="H471" s="320"/>
      <c r="I471" s="324" t="s">
        <v>4380</v>
      </c>
      <c r="J471" s="316"/>
      <c r="K471" s="317"/>
      <c r="L471" s="318"/>
      <c r="M471" s="468"/>
      <c r="N471" s="468"/>
      <c r="O471" s="314"/>
      <c r="P471" s="320"/>
      <c r="Q471" s="324" t="s">
        <v>4381</v>
      </c>
      <c r="R471" s="317"/>
      <c r="S471" s="317"/>
      <c r="T471" s="317"/>
      <c r="U471" s="468"/>
      <c r="V471" s="468"/>
      <c r="W471" s="313"/>
      <c r="X471" s="28"/>
    </row>
    <row r="472" spans="1:26" ht="15.75">
      <c r="A472" s="324" t="s">
        <v>4382</v>
      </c>
      <c r="B472" s="320"/>
      <c r="C472" s="320"/>
      <c r="D472" s="316"/>
      <c r="E472" s="468"/>
      <c r="F472" s="468"/>
      <c r="G472" s="314"/>
      <c r="H472" s="320"/>
      <c r="I472" s="324" t="s">
        <v>4383</v>
      </c>
      <c r="J472" s="316"/>
      <c r="K472" s="317"/>
      <c r="L472" s="318"/>
      <c r="M472" s="468"/>
      <c r="N472" s="468"/>
      <c r="O472" s="314"/>
      <c r="P472" s="320"/>
      <c r="Q472" s="324" t="s">
        <v>4384</v>
      </c>
      <c r="R472" s="317"/>
      <c r="S472" s="317"/>
      <c r="T472" s="317"/>
      <c r="U472" s="468"/>
      <c r="V472" s="468"/>
      <c r="W472" s="313"/>
      <c r="X472" s="28"/>
    </row>
    <row r="473" spans="1:26" ht="15.75">
      <c r="A473" s="324" t="s">
        <v>4385</v>
      </c>
      <c r="B473" s="320"/>
      <c r="C473" s="320"/>
      <c r="D473" s="316"/>
      <c r="E473" s="468"/>
      <c r="F473" s="468"/>
      <c r="G473" s="314"/>
      <c r="H473" s="320"/>
      <c r="I473" s="324" t="s">
        <v>4386</v>
      </c>
      <c r="J473" s="316"/>
      <c r="K473" s="317"/>
      <c r="L473" s="318"/>
      <c r="M473" s="468"/>
      <c r="N473" s="468"/>
      <c r="O473" s="314"/>
      <c r="P473" s="320"/>
      <c r="Q473" s="324" t="s">
        <v>4387</v>
      </c>
      <c r="R473" s="317"/>
      <c r="S473" s="317"/>
      <c r="T473" s="317"/>
      <c r="U473" s="468"/>
      <c r="V473" s="468"/>
      <c r="W473" s="314"/>
      <c r="X473" s="28"/>
    </row>
    <row r="474" spans="1:26" ht="15.75">
      <c r="A474" s="324" t="s">
        <v>4388</v>
      </c>
      <c r="B474" s="320"/>
      <c r="C474" s="320"/>
      <c r="D474" s="316"/>
      <c r="E474" s="468"/>
      <c r="F474" s="468"/>
      <c r="G474" s="314"/>
      <c r="H474" s="320"/>
      <c r="I474" s="324" t="s">
        <v>2225</v>
      </c>
      <c r="J474" s="316"/>
      <c r="K474" s="317"/>
      <c r="L474" s="318"/>
      <c r="M474" s="468"/>
      <c r="N474" s="468"/>
      <c r="O474" s="314"/>
      <c r="P474" s="320"/>
      <c r="Q474" s="324" t="s">
        <v>4389</v>
      </c>
      <c r="R474" s="317"/>
      <c r="S474" s="317"/>
      <c r="T474" s="317"/>
      <c r="U474" s="468"/>
      <c r="V474" s="468"/>
      <c r="W474" s="313"/>
      <c r="X474" s="28"/>
    </row>
    <row r="475" spans="1:26" ht="15.75">
      <c r="A475" s="324" t="s">
        <v>4390</v>
      </c>
      <c r="B475" s="320"/>
      <c r="C475" s="320"/>
      <c r="D475" s="316"/>
      <c r="E475" s="468"/>
      <c r="F475" s="468"/>
      <c r="G475" s="314"/>
      <c r="H475" s="316"/>
      <c r="I475" s="324" t="s">
        <v>4391</v>
      </c>
      <c r="J475" s="316"/>
      <c r="K475" s="317"/>
      <c r="L475" s="318"/>
      <c r="M475" s="468"/>
      <c r="N475" s="468"/>
      <c r="O475" s="313"/>
      <c r="P475" s="317"/>
      <c r="Q475" s="324" t="s">
        <v>4392</v>
      </c>
      <c r="R475" s="317"/>
      <c r="S475" s="317"/>
      <c r="T475" s="317"/>
      <c r="U475" s="468"/>
      <c r="V475" s="468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3463</v>
      </c>
      <c r="E478" s="435" t="s">
        <v>3464</v>
      </c>
      <c r="F478" s="435" t="s">
        <v>843</v>
      </c>
      <c r="G478" s="435" t="s">
        <v>2528</v>
      </c>
      <c r="H478" s="435" t="s">
        <v>2197</v>
      </c>
      <c r="I478" s="435" t="s">
        <v>2199</v>
      </c>
      <c r="J478" s="435" t="s">
        <v>2198</v>
      </c>
      <c r="K478" s="435" t="s">
        <v>2200</v>
      </c>
      <c r="L478" s="435" t="s">
        <v>2201</v>
      </c>
      <c r="M478" s="435" t="s">
        <v>2202</v>
      </c>
      <c r="N478" s="435" t="s">
        <v>2203</v>
      </c>
      <c r="O478" s="435" t="s">
        <v>2204</v>
      </c>
      <c r="P478" s="435" t="s">
        <v>2205</v>
      </c>
      <c r="Q478" s="435" t="s">
        <v>2206</v>
      </c>
      <c r="R478" s="435" t="s">
        <v>2207</v>
      </c>
      <c r="S478" s="435" t="s">
        <v>2184</v>
      </c>
      <c r="T478" s="435" t="s">
        <v>2208</v>
      </c>
      <c r="U478" s="435" t="s">
        <v>2209</v>
      </c>
      <c r="V478" s="202" t="s">
        <v>40</v>
      </c>
      <c r="W478" s="28"/>
      <c r="X478" s="28"/>
      <c r="Y478" s="28"/>
      <c r="Z478" s="28"/>
    </row>
    <row r="479" spans="1:26" ht="15.75">
      <c r="A479" s="536" t="s">
        <v>3606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/>
      <c r="S479" s="50"/>
      <c r="T479" s="50"/>
      <c r="U479" s="50"/>
      <c r="V479" s="303">
        <f>SUM(D479:U479)</f>
        <v>34</v>
      </c>
      <c r="W479" s="503">
        <f>SUM($E$439,$N$438,$V$440,$E$444,$N$443,$U$443,$F$453,$M$452,$V$454,$F$460,$M$459,$U$461,$F$465,$M$464,$V$464,$E$474,$N$473,$U$475)</f>
        <v>6918.9699999999993</v>
      </c>
      <c r="X479" s="50" t="s">
        <v>95</v>
      </c>
      <c r="Y479" s="28"/>
      <c r="Z479" s="28"/>
    </row>
    <row r="480" spans="1:26" ht="15.75">
      <c r="A480" s="63" t="s">
        <v>3607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/>
      <c r="S480" s="50"/>
      <c r="T480" s="50"/>
      <c r="U480" s="50"/>
      <c r="V480" s="303">
        <f>SUM(D480:U480)</f>
        <v>29</v>
      </c>
      <c r="W480" s="503">
        <f>SUM($F$438,$M$438,$V$439,$E$446,$N$445,$U$445,$F$454,$N$450,$U$452,$E$459,$N$459,$U$460,$F$467,$M$466,$V$466,$E$475,$M$471,$V$473)</f>
        <v>7298.3400000000029</v>
      </c>
      <c r="X480" s="50" t="s">
        <v>96</v>
      </c>
      <c r="Y480" s="28"/>
      <c r="Z480" s="28"/>
    </row>
    <row r="481" spans="1:26" ht="15.75">
      <c r="A481" s="281" t="s">
        <v>2288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/>
      <c r="S481" s="50"/>
      <c r="T481" s="50"/>
      <c r="U481" s="50"/>
      <c r="V481" s="303">
        <f>SUM(D481:U481)</f>
        <v>24</v>
      </c>
      <c r="W481" s="503">
        <f>SUM($E$440,$N$437,$U$440,$F$446,$N$444,$U$447,$F$452,$M$454,$V$450,$F$461,$M$458,$V$461,$E$467,$M$465,$V$468,$E$473,$N$475,$U$471)</f>
        <v>7593.9699999999957</v>
      </c>
      <c r="X481" s="50" t="s">
        <v>97</v>
      </c>
      <c r="Y481" s="28"/>
      <c r="Z481" s="28"/>
    </row>
    <row r="482" spans="1:26" ht="15.75">
      <c r="A482" s="412" t="s">
        <v>2258</v>
      </c>
      <c r="B482" s="327"/>
      <c r="C482" s="327"/>
      <c r="D482" s="330">
        <v>3</v>
      </c>
      <c r="E482" s="330">
        <v>3</v>
      </c>
      <c r="F482" s="330">
        <v>2</v>
      </c>
      <c r="G482" s="330">
        <v>2</v>
      </c>
      <c r="H482" s="330">
        <v>3</v>
      </c>
      <c r="I482" s="330">
        <v>0</v>
      </c>
      <c r="J482" s="330">
        <v>2</v>
      </c>
      <c r="K482" s="330">
        <v>0</v>
      </c>
      <c r="L482" s="330">
        <v>3</v>
      </c>
      <c r="M482" s="330">
        <v>0</v>
      </c>
      <c r="N482" s="330">
        <v>2</v>
      </c>
      <c r="O482" s="330">
        <v>0</v>
      </c>
      <c r="P482" s="330">
        <v>2</v>
      </c>
      <c r="Q482" s="330">
        <v>2</v>
      </c>
      <c r="R482" s="330"/>
      <c r="S482" s="330"/>
      <c r="T482" s="330"/>
      <c r="U482" s="330"/>
      <c r="V482" s="329">
        <f>SUM(D482:U482)</f>
        <v>24</v>
      </c>
      <c r="W482" s="504">
        <f>SUM($E$438,$N$439,$U$438,$F$447,$M$446,$V$443,$E$452,$N$451,$U$451,$F$459,$M$460,$V$459,$E$468,$N$467,$U$464,$F$473,$M$472,$V$472)</f>
        <v>6373.4000000000015</v>
      </c>
      <c r="X482" s="50" t="s">
        <v>98</v>
      </c>
      <c r="Y482" s="28"/>
      <c r="Z482" s="28"/>
    </row>
    <row r="483" spans="1:26" ht="15.75">
      <c r="A483" s="524" t="s">
        <v>2309</v>
      </c>
      <c r="B483" s="531"/>
      <c r="C483" s="531"/>
      <c r="D483" s="532">
        <v>1</v>
      </c>
      <c r="E483" s="532">
        <v>1</v>
      </c>
      <c r="F483" s="532">
        <v>2</v>
      </c>
      <c r="G483" s="532">
        <v>0</v>
      </c>
      <c r="H483" s="532">
        <v>3</v>
      </c>
      <c r="I483" s="532">
        <v>1</v>
      </c>
      <c r="J483" s="532">
        <v>3</v>
      </c>
      <c r="K483" s="532">
        <v>3</v>
      </c>
      <c r="L483" s="532">
        <v>3</v>
      </c>
      <c r="M483" s="532">
        <v>0</v>
      </c>
      <c r="N483" s="532">
        <v>2</v>
      </c>
      <c r="O483" s="532">
        <v>1</v>
      </c>
      <c r="P483" s="532">
        <v>0</v>
      </c>
      <c r="Q483" s="532">
        <v>1</v>
      </c>
      <c r="R483" s="532"/>
      <c r="S483" s="532"/>
      <c r="T483" s="532"/>
      <c r="U483" s="532"/>
      <c r="V483" s="533">
        <f>SUM(D483:U483)</f>
        <v>21</v>
      </c>
      <c r="W483" s="534">
        <f>SUM($E$437,$N$440,$U$437,$F$444,$M$444,$V$445,$F$450,$M$451,$V$453,$F$458,$M$461,$V$458,$E$465,$N$465,$U$466,$E$471,$N$472,$U$474)</f>
        <v>6876.32</v>
      </c>
      <c r="X483" s="28"/>
      <c r="Y483" s="28"/>
      <c r="Z483" s="28"/>
    </row>
    <row r="484" spans="1:26" ht="15.75">
      <c r="A484" s="278" t="s">
        <v>2266</v>
      </c>
      <c r="D484" s="50">
        <v>2</v>
      </c>
      <c r="E484" s="50">
        <v>3</v>
      </c>
      <c r="F484" s="50">
        <v>1</v>
      </c>
      <c r="G484" s="50">
        <v>2</v>
      </c>
      <c r="H484" s="50">
        <v>1</v>
      </c>
      <c r="I484" s="50">
        <v>0</v>
      </c>
      <c r="J484" s="50">
        <v>2</v>
      </c>
      <c r="K484" s="50">
        <v>0</v>
      </c>
      <c r="L484" s="50">
        <v>2</v>
      </c>
      <c r="M484" s="50">
        <v>3</v>
      </c>
      <c r="N484" s="50">
        <v>1</v>
      </c>
      <c r="O484" s="50">
        <v>3</v>
      </c>
      <c r="P484" s="50">
        <v>1</v>
      </c>
      <c r="Q484" s="50">
        <v>0</v>
      </c>
      <c r="R484" s="50"/>
      <c r="S484" s="50"/>
      <c r="T484" s="50"/>
      <c r="U484" s="50"/>
      <c r="V484" s="303">
        <f>SUM(D484:U484)</f>
        <v>21</v>
      </c>
      <c r="W484" s="503">
        <f>SUM($F$437,$M$436,$V$438,$E$443,$M$445,$V$446,$E$451,$N$452,$U$450,$E$458,$N$457,$U$459,$F$464,$N$466,$U$467,$F$472,$M$473,$V$471)</f>
        <v>6161.1900000000005</v>
      </c>
      <c r="X484" s="28"/>
      <c r="Y484" s="28"/>
      <c r="Z484" s="28"/>
    </row>
    <row r="485" spans="1:26" ht="15.75">
      <c r="A485" s="28" t="s">
        <v>2255</v>
      </c>
      <c r="D485" s="50">
        <v>0</v>
      </c>
      <c r="E485" s="50">
        <v>2</v>
      </c>
      <c r="F485" s="50">
        <v>2</v>
      </c>
      <c r="G485" s="50">
        <v>1</v>
      </c>
      <c r="H485" s="50">
        <v>0</v>
      </c>
      <c r="I485" s="50">
        <v>3</v>
      </c>
      <c r="J485" s="50">
        <v>0</v>
      </c>
      <c r="K485" s="50">
        <v>2</v>
      </c>
      <c r="L485" s="50">
        <v>3</v>
      </c>
      <c r="M485" s="50">
        <v>0</v>
      </c>
      <c r="N485" s="50">
        <v>1</v>
      </c>
      <c r="O485" s="50">
        <v>1</v>
      </c>
      <c r="P485" s="50">
        <v>1</v>
      </c>
      <c r="Q485" s="50">
        <v>1</v>
      </c>
      <c r="R485" s="50"/>
      <c r="S485" s="50"/>
      <c r="T485" s="50"/>
      <c r="U485" s="50"/>
      <c r="V485" s="303">
        <f>SUM(D485:U485)</f>
        <v>17</v>
      </c>
      <c r="W485" s="503">
        <f>SUM($F$440,$M$440,$V$436,$E$447,$N$447,$U$446,$E$454,$N$453,$U$454,$E$461,$N$461,$U$457,$F$468,$M$468,$V$467,$F$475,$M$474,$V$475)</f>
        <v>5141.4800000000005</v>
      </c>
      <c r="X485" s="28"/>
      <c r="Y485" s="28"/>
      <c r="Z485" s="28"/>
    </row>
    <row r="486" spans="1:26" ht="15.75">
      <c r="A486" s="63" t="s">
        <v>3605</v>
      </c>
      <c r="D486" s="50">
        <v>3</v>
      </c>
      <c r="E486" s="50">
        <v>0</v>
      </c>
      <c r="F486" s="50">
        <v>1</v>
      </c>
      <c r="G486" s="50">
        <v>0</v>
      </c>
      <c r="H486" s="50">
        <v>0</v>
      </c>
      <c r="I486" s="50">
        <v>0</v>
      </c>
      <c r="J486" s="50">
        <v>0</v>
      </c>
      <c r="K486" s="50">
        <v>2</v>
      </c>
      <c r="L486" s="50">
        <v>0</v>
      </c>
      <c r="M486" s="50">
        <v>3</v>
      </c>
      <c r="N486" s="50">
        <v>2</v>
      </c>
      <c r="O486" s="50">
        <v>2</v>
      </c>
      <c r="P486" s="50">
        <v>3</v>
      </c>
      <c r="Q486" s="50">
        <v>0</v>
      </c>
      <c r="R486" s="50"/>
      <c r="S486" s="50"/>
      <c r="T486" s="50"/>
      <c r="U486" s="50"/>
      <c r="V486" s="303">
        <f>SUM(D486:U486)</f>
        <v>16</v>
      </c>
      <c r="W486" s="503">
        <f>SUM($E$436,$N$436,$U$436,$F$445,$M$443,$V$447,$E$450,$M$450,$V$451,$F$457,$M$457,$V$457,$E$466,$N$464,$U$468,$F$471,$N$471,$U$472)</f>
        <v>5449.1200000000008</v>
      </c>
      <c r="X486" s="28"/>
      <c r="Y486" s="28"/>
      <c r="Z486" s="28"/>
    </row>
    <row r="487" spans="1:26" ht="15.75">
      <c r="A487" s="278" t="s">
        <v>2252</v>
      </c>
      <c r="D487" s="50">
        <v>0</v>
      </c>
      <c r="E487" s="50">
        <v>3</v>
      </c>
      <c r="F487" s="50">
        <v>1</v>
      </c>
      <c r="G487" s="50">
        <v>3</v>
      </c>
      <c r="H487" s="50">
        <v>0</v>
      </c>
      <c r="I487" s="50">
        <v>3</v>
      </c>
      <c r="J487" s="50">
        <v>1</v>
      </c>
      <c r="K487" s="50">
        <v>1</v>
      </c>
      <c r="L487" s="50">
        <v>0</v>
      </c>
      <c r="M487" s="50">
        <v>0</v>
      </c>
      <c r="N487" s="50">
        <v>0</v>
      </c>
      <c r="O487" s="50">
        <v>2</v>
      </c>
      <c r="P487" s="50">
        <v>0</v>
      </c>
      <c r="Q487" s="50">
        <v>1</v>
      </c>
      <c r="R487" s="50"/>
      <c r="S487" s="50"/>
      <c r="T487" s="50"/>
      <c r="U487" s="50"/>
      <c r="V487" s="303">
        <f>SUM(D487:U487)</f>
        <v>15</v>
      </c>
      <c r="W487" s="503">
        <f>SUM($F$439,$M$437,$V$437,$E$445,$N$446,$U$444,$F$451,$M$453,$V$452,$E$460,$N$458,$U$458,$F$466,$M$467,$V$465,$E$472,$N$474,$U$473)</f>
        <v>5834.9900000000007</v>
      </c>
      <c r="X487" s="28"/>
      <c r="Y487" s="28"/>
      <c r="Z487" s="28"/>
    </row>
    <row r="488" spans="1:26" ht="15.75">
      <c r="A488" s="535" t="s">
        <v>2287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/>
      <c r="S488" s="50"/>
      <c r="T488" s="50"/>
      <c r="U488" s="50"/>
      <c r="V488" s="303">
        <f>SUM(D488:U488)</f>
        <v>9</v>
      </c>
      <c r="W488" s="503">
        <f>SUM($F$436,$M$439,$U$439,$F$443,$M$447,$V$444,$E$453,$N$454,$U$453,$E$457,$N$460,$V$460,$E$464,$N$468,$U$465,$F$474,$M$475,$V$474)</f>
        <v>4986.2399999999952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9">
        <f>SUM(W479:W488)</f>
        <v>62634.020000000004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9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2169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4"/>
      <c r="C495" s="444"/>
      <c r="D495" s="445"/>
      <c r="E495" s="445"/>
      <c r="F495" s="445"/>
      <c r="G495" s="318" t="s">
        <v>150</v>
      </c>
      <c r="H495" s="444"/>
      <c r="I495" s="319" t="s">
        <v>184</v>
      </c>
      <c r="J495" s="445"/>
      <c r="K495" s="444"/>
      <c r="L495" s="318"/>
      <c r="M495" s="444"/>
      <c r="N495" s="444"/>
      <c r="O495" s="318" t="s">
        <v>150</v>
      </c>
      <c r="P495" s="444"/>
      <c r="Q495" s="319" t="s">
        <v>843</v>
      </c>
      <c r="R495" s="444"/>
      <c r="S495" s="444"/>
      <c r="T495" s="444"/>
      <c r="U495" s="444"/>
      <c r="V495" s="444"/>
      <c r="W495" s="318" t="s">
        <v>150</v>
      </c>
    </row>
    <row r="496" spans="1:26" ht="15.75">
      <c r="A496" s="324" t="s">
        <v>3645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4556</v>
      </c>
      <c r="H496" s="320"/>
      <c r="I496" s="324" t="s">
        <v>3876</v>
      </c>
      <c r="J496" s="316"/>
      <c r="K496" s="317"/>
      <c r="L496" s="318"/>
      <c r="M496" s="468">
        <f>'Punten per wedstrijd'!E16*1.2</f>
        <v>252.60000000000005</v>
      </c>
      <c r="N496" s="468">
        <f>'Punten per wedstrijd'!E12</f>
        <v>3.9000000000000909</v>
      </c>
      <c r="O496" s="313" t="s">
        <v>4555</v>
      </c>
      <c r="P496" s="320"/>
      <c r="Q496" s="324" t="s">
        <v>3881</v>
      </c>
      <c r="R496" s="317"/>
      <c r="S496" s="317"/>
      <c r="T496" s="317"/>
      <c r="U496" s="468">
        <f>'Punten per wedstrijd'!F116*1.2</f>
        <v>536.63999999999953</v>
      </c>
      <c r="V496" s="468">
        <f>'Punten per wedstrijd'!F179</f>
        <v>677.19999999999936</v>
      </c>
      <c r="W496" s="313" t="s">
        <v>4556</v>
      </c>
    </row>
    <row r="497" spans="1:23" ht="15.75">
      <c r="A497" s="324" t="s">
        <v>3646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4555</v>
      </c>
      <c r="H497" s="320"/>
      <c r="I497" s="324" t="s">
        <v>3877</v>
      </c>
      <c r="J497" s="316"/>
      <c r="K497" s="317"/>
      <c r="L497" s="318"/>
      <c r="M497" s="468">
        <f>'Punten per wedstrijd'!E56*1.2</f>
        <v>275.87999999999982</v>
      </c>
      <c r="N497" s="468">
        <f>'Punten per wedstrijd'!E99</f>
        <v>137.29999999999984</v>
      </c>
      <c r="O497" s="313" t="s">
        <v>4555</v>
      </c>
      <c r="P497" s="320"/>
      <c r="Q497" s="324" t="s">
        <v>3882</v>
      </c>
      <c r="R497" s="317"/>
      <c r="S497" s="317"/>
      <c r="T497" s="317"/>
      <c r="U497" s="468">
        <f>'Punten per wedstrijd'!F119*1.2</f>
        <v>644.15999999999906</v>
      </c>
      <c r="V497" s="468">
        <f>'Punten per wedstrijd'!F160</f>
        <v>448.30000000000018</v>
      </c>
      <c r="W497" s="313" t="s">
        <v>4555</v>
      </c>
    </row>
    <row r="498" spans="1:23" ht="15.75">
      <c r="A498" s="324" t="s">
        <v>3647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4555</v>
      </c>
      <c r="H498" s="320"/>
      <c r="I498" s="324" t="s">
        <v>3878</v>
      </c>
      <c r="J498" s="316"/>
      <c r="K498" s="317"/>
      <c r="L498" s="318"/>
      <c r="M498" s="468">
        <f>'Punten per wedstrijd'!E59*1.2</f>
        <v>212.88000000000011</v>
      </c>
      <c r="N498" s="468">
        <f>'Punten per wedstrijd'!E46</f>
        <v>177.09999999999997</v>
      </c>
      <c r="O498" s="313" t="s">
        <v>4557</v>
      </c>
      <c r="P498" s="320"/>
      <c r="Q498" s="324" t="s">
        <v>3883</v>
      </c>
      <c r="R498" s="317"/>
      <c r="S498" s="317"/>
      <c r="T498" s="317"/>
      <c r="U498" s="468">
        <f>'Punten per wedstrijd'!F143*1.2</f>
        <v>571.56000000000017</v>
      </c>
      <c r="V498" s="468">
        <f>'Punten per wedstrijd'!F120</f>
        <v>514.7999999999995</v>
      </c>
      <c r="W498" s="313" t="s">
        <v>4557</v>
      </c>
    </row>
    <row r="499" spans="1:23" ht="15.75">
      <c r="A499" s="324" t="s">
        <v>3648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4556</v>
      </c>
      <c r="H499" s="320"/>
      <c r="I499" s="324" t="s">
        <v>3879</v>
      </c>
      <c r="J499" s="316"/>
      <c r="K499" s="317"/>
      <c r="L499" s="318"/>
      <c r="M499" s="468">
        <f>'Punten per wedstrijd'!E70*1.2</f>
        <v>270.60000000000042</v>
      </c>
      <c r="N499" s="468">
        <f>'Punten per wedstrijd'!E39</f>
        <v>551.60000000000014</v>
      </c>
      <c r="O499" s="313" t="s">
        <v>4556</v>
      </c>
      <c r="P499" s="320"/>
      <c r="Q499" s="324" t="s">
        <v>3884</v>
      </c>
      <c r="R499" s="317"/>
      <c r="S499" s="317"/>
      <c r="T499" s="317"/>
      <c r="U499" s="468">
        <f>'Punten per wedstrijd'!F174*1.2</f>
        <v>788.63999999999976</v>
      </c>
      <c r="V499" s="468">
        <f>'Punten per wedstrijd'!F163</f>
        <v>469.29999999999995</v>
      </c>
      <c r="W499" s="313" t="s">
        <v>4555</v>
      </c>
    </row>
    <row r="500" spans="1:23" ht="15.75">
      <c r="A500" s="324" t="s">
        <v>3649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4557</v>
      </c>
      <c r="H500" s="320"/>
      <c r="I500" s="324" t="s">
        <v>3880</v>
      </c>
      <c r="J500" s="316"/>
      <c r="K500" s="317"/>
      <c r="L500" s="318"/>
      <c r="M500" s="468">
        <f>'Punten per wedstrijd'!E75*1.2</f>
        <v>321.24000000000007</v>
      </c>
      <c r="N500" s="468">
        <f>'Punten per wedstrijd'!E15</f>
        <v>82.499999999999886</v>
      </c>
      <c r="O500" s="313" t="s">
        <v>4555</v>
      </c>
      <c r="P500" s="320"/>
      <c r="Q500" s="324" t="s">
        <v>3885</v>
      </c>
      <c r="R500" s="317"/>
      <c r="S500" s="317"/>
      <c r="T500" s="317"/>
      <c r="U500" s="468">
        <f>'Punten per wedstrijd'!F203*1.2</f>
        <v>988.80000000000052</v>
      </c>
      <c r="V500" s="468">
        <f>'Punten per wedstrijd'!F150</f>
        <v>530.80000000000018</v>
      </c>
      <c r="W500" s="313" t="s">
        <v>4555</v>
      </c>
    </row>
    <row r="501" spans="1:23" ht="15.75">
      <c r="A501" s="323"/>
      <c r="B501" s="320"/>
      <c r="C501" s="320"/>
      <c r="D501" s="316"/>
      <c r="E501" s="468"/>
      <c r="F501" s="468"/>
      <c r="G501" s="313"/>
      <c r="H501" s="320"/>
      <c r="I501" s="320"/>
      <c r="J501" s="316"/>
      <c r="K501" s="317"/>
      <c r="L501" s="318"/>
      <c r="M501" s="500"/>
      <c r="N501" s="500"/>
      <c r="O501" s="314"/>
      <c r="P501" s="320"/>
      <c r="Q501" s="316"/>
      <c r="R501" s="317"/>
      <c r="S501" s="317"/>
      <c r="T501" s="317"/>
      <c r="U501" s="500"/>
      <c r="V501" s="500"/>
      <c r="W501" s="314"/>
    </row>
    <row r="502" spans="1:23" s="39" customFormat="1" ht="15.75">
      <c r="A502" s="319" t="s">
        <v>2210</v>
      </c>
      <c r="B502" s="444"/>
      <c r="C502" s="444"/>
      <c r="D502" s="445"/>
      <c r="E502" s="468"/>
      <c r="F502" s="468"/>
      <c r="G502" s="447" t="s">
        <v>150</v>
      </c>
      <c r="H502" s="444"/>
      <c r="I502" s="319" t="s">
        <v>186</v>
      </c>
      <c r="J502" s="445"/>
      <c r="K502" s="444"/>
      <c r="L502" s="318"/>
      <c r="M502" s="500"/>
      <c r="N502" s="500"/>
      <c r="O502" s="447" t="s">
        <v>150</v>
      </c>
      <c r="P502" s="444"/>
      <c r="Q502" s="319" t="s">
        <v>175</v>
      </c>
      <c r="R502" s="444"/>
      <c r="S502" s="444"/>
      <c r="T502" s="444"/>
      <c r="U502" s="500"/>
      <c r="V502" s="500"/>
      <c r="W502" s="447" t="s">
        <v>150</v>
      </c>
    </row>
    <row r="503" spans="1:23" ht="15.75">
      <c r="A503" s="324" t="s">
        <v>3886</v>
      </c>
      <c r="B503" s="320"/>
      <c r="C503" s="320"/>
      <c r="D503" s="316"/>
      <c r="E503" s="468">
        <f>'Punten per wedstrijd'!F16*1.2</f>
        <v>414.71999999999963</v>
      </c>
      <c r="F503" s="468">
        <f>'Punten per wedstrijd'!F70</f>
        <v>138.39999999999986</v>
      </c>
      <c r="G503" s="313" t="s">
        <v>4555</v>
      </c>
      <c r="H503" s="320"/>
      <c r="I503" s="324" t="s">
        <v>3890</v>
      </c>
      <c r="J503" s="316"/>
      <c r="K503" s="317"/>
      <c r="L503" s="318"/>
      <c r="M503" s="468">
        <f>'Punten per wedstrijd'!G12*1.2</f>
        <v>73.799999999999173</v>
      </c>
      <c r="N503" s="468">
        <f>'Punten per wedstrijd'!G46</f>
        <v>143.49999999999955</v>
      </c>
      <c r="O503" s="313" t="s">
        <v>4556</v>
      </c>
      <c r="P503" s="320"/>
      <c r="Q503" s="324" t="s">
        <v>3895</v>
      </c>
      <c r="R503" s="317"/>
      <c r="S503" s="317"/>
      <c r="T503" s="317"/>
      <c r="U503" s="468">
        <f>'Punten per wedstrijd'!G150*1.2</f>
        <v>1074.3600000000001</v>
      </c>
      <c r="V503" s="468">
        <f>'Punten per wedstrijd'!G143</f>
        <v>494.89999999999964</v>
      </c>
      <c r="W503" s="313" t="s">
        <v>4555</v>
      </c>
    </row>
    <row r="504" spans="1:23" ht="15.75">
      <c r="A504" s="324" t="s">
        <v>3887</v>
      </c>
      <c r="B504" s="320"/>
      <c r="C504" s="320"/>
      <c r="D504" s="316"/>
      <c r="E504" s="468">
        <f>'Punten per wedstrijd'!F46*1.2</f>
        <v>247.07999999999981</v>
      </c>
      <c r="F504" s="468">
        <f>'Punten per wedstrijd'!F15</f>
        <v>426.39999999999941</v>
      </c>
      <c r="G504" s="313" t="s">
        <v>4556</v>
      </c>
      <c r="H504" s="320"/>
      <c r="I504" s="324" t="s">
        <v>3891</v>
      </c>
      <c r="J504" s="316"/>
      <c r="K504" s="317"/>
      <c r="L504" s="318"/>
      <c r="M504" s="468">
        <f>'Punten per wedstrijd'!G15*1.2</f>
        <v>248.39999999999998</v>
      </c>
      <c r="N504" s="468">
        <f>'Punten per wedstrijd'!G99</f>
        <v>207.00000000000045</v>
      </c>
      <c r="O504" s="313" t="s">
        <v>4557</v>
      </c>
      <c r="P504" s="320"/>
      <c r="Q504" s="324" t="s">
        <v>3896</v>
      </c>
      <c r="R504" s="317"/>
      <c r="S504" s="317"/>
      <c r="T504" s="317"/>
      <c r="U504" s="468">
        <f>'Punten per wedstrijd'!G160*1.2</f>
        <v>1334.6400000000003</v>
      </c>
      <c r="V504" s="468">
        <f>'Punten per wedstrijd'!G174</f>
        <v>910.09999999999991</v>
      </c>
      <c r="W504" s="313" t="s">
        <v>4555</v>
      </c>
    </row>
    <row r="505" spans="1:23" ht="15.75">
      <c r="A505" s="324" t="s">
        <v>3888</v>
      </c>
      <c r="B505" s="320"/>
      <c r="C505" s="320"/>
      <c r="D505" s="316"/>
      <c r="E505" s="468">
        <f>'Punten per wedstrijd'!F56*1.2</f>
        <v>317.51999999999987</v>
      </c>
      <c r="F505" s="468">
        <f>'Punten per wedstrijd'!F12</f>
        <v>127.49999999999977</v>
      </c>
      <c r="G505" s="313" t="s">
        <v>4555</v>
      </c>
      <c r="H505" s="320"/>
      <c r="I505" s="324" t="s">
        <v>3892</v>
      </c>
      <c r="J505" s="316"/>
      <c r="K505" s="317"/>
      <c r="L505" s="318"/>
      <c r="M505" s="468">
        <f>'Punten per wedstrijd'!G16*1.2</f>
        <v>396.71999999999935</v>
      </c>
      <c r="N505" s="468">
        <f>'Punten per wedstrijd'!G59</f>
        <v>255.50000000000045</v>
      </c>
      <c r="O505" s="313" t="s">
        <v>4555</v>
      </c>
      <c r="P505" s="320"/>
      <c r="Q505" s="324" t="s">
        <v>3897</v>
      </c>
      <c r="R505" s="317"/>
      <c r="S505" s="317"/>
      <c r="T505" s="317"/>
      <c r="U505" s="468">
        <f>'Punten per wedstrijd'!G163*1.2</f>
        <v>1073.6400000000003</v>
      </c>
      <c r="V505" s="468">
        <f>'Punten per wedstrijd'!G119</f>
        <v>867.20000000000027</v>
      </c>
      <c r="W505" s="313" t="s">
        <v>4557</v>
      </c>
    </row>
    <row r="506" spans="1:23" ht="15.75">
      <c r="A506" s="324" t="s">
        <v>3889</v>
      </c>
      <c r="B506" s="320"/>
      <c r="C506" s="320"/>
      <c r="D506" s="316"/>
      <c r="E506" s="468">
        <f>'Punten per wedstrijd'!F59*1.2</f>
        <v>444.83999999999975</v>
      </c>
      <c r="F506" s="468">
        <f>'Punten per wedstrijd'!F99</f>
        <v>339.49999999999955</v>
      </c>
      <c r="G506" s="313" t="s">
        <v>4555</v>
      </c>
      <c r="H506" s="320"/>
      <c r="I506" s="324" t="s">
        <v>3893</v>
      </c>
      <c r="J506" s="316"/>
      <c r="K506" s="317"/>
      <c r="L506" s="318"/>
      <c r="M506" s="468">
        <f>'Punten per wedstrijd'!G39*1.2</f>
        <v>72.00000000000054</v>
      </c>
      <c r="N506" s="468">
        <f>'Punten per wedstrijd'!G56</f>
        <v>222.00000000000091</v>
      </c>
      <c r="O506" s="313" t="s">
        <v>4556</v>
      </c>
      <c r="P506" s="320"/>
      <c r="Q506" s="324" t="s">
        <v>3898</v>
      </c>
      <c r="R506" s="317"/>
      <c r="S506" s="317"/>
      <c r="T506" s="317"/>
      <c r="U506" s="468">
        <f>'Punten per wedstrijd'!G179*1.2</f>
        <v>1124.0399999999975</v>
      </c>
      <c r="V506" s="468">
        <f>'Punten per wedstrijd'!G120</f>
        <v>337.59999999999945</v>
      </c>
      <c r="W506" s="313" t="s">
        <v>4555</v>
      </c>
    </row>
    <row r="507" spans="1:23" ht="15.75">
      <c r="A507" s="324" t="s">
        <v>2280</v>
      </c>
      <c r="B507" s="320"/>
      <c r="C507" s="320"/>
      <c r="D507" s="316"/>
      <c r="E507" s="468">
        <f>'Punten per wedstrijd'!F75*1.2</f>
        <v>126.72000000000043</v>
      </c>
      <c r="F507" s="468">
        <f>'Punten per wedstrijd'!F39</f>
        <v>9.6000000000003638</v>
      </c>
      <c r="G507" s="313" t="s">
        <v>4555</v>
      </c>
      <c r="H507" s="320"/>
      <c r="I507" s="324" t="s">
        <v>3894</v>
      </c>
      <c r="J507" s="316"/>
      <c r="K507" s="317"/>
      <c r="L507" s="318"/>
      <c r="M507" s="468">
        <f>'Punten per wedstrijd'!G70*1.2</f>
        <v>490.2</v>
      </c>
      <c r="N507" s="468">
        <f>'Punten per wedstrijd'!G75</f>
        <v>172.599999999999</v>
      </c>
      <c r="O507" s="313" t="s">
        <v>4555</v>
      </c>
      <c r="P507" s="320"/>
      <c r="Q507" s="324" t="s">
        <v>3899</v>
      </c>
      <c r="R507" s="317"/>
      <c r="S507" s="317"/>
      <c r="T507" s="317"/>
      <c r="U507" s="468">
        <f>'Punten per wedstrijd'!G203*1.2</f>
        <v>1086.3600000000017</v>
      </c>
      <c r="V507" s="468">
        <f>'Punten per wedstrijd'!G116</f>
        <v>396.30000000000018</v>
      </c>
      <c r="W507" s="313" t="s">
        <v>4555</v>
      </c>
    </row>
    <row r="508" spans="1:23" ht="15.75">
      <c r="A508" s="323"/>
      <c r="B508" s="320"/>
      <c r="C508" s="320"/>
      <c r="D508" s="316"/>
      <c r="E508" s="468"/>
      <c r="F508" s="468"/>
      <c r="G508" s="311"/>
      <c r="H508" s="320"/>
      <c r="I508" s="316"/>
      <c r="J508" s="316"/>
      <c r="K508" s="317"/>
      <c r="L508" s="318"/>
      <c r="M508" s="500"/>
      <c r="N508" s="500"/>
      <c r="O508" s="314"/>
      <c r="P508" s="320"/>
      <c r="Q508" s="317"/>
      <c r="R508" s="317"/>
      <c r="S508" s="317"/>
      <c r="T508" s="317"/>
      <c r="U508" s="500"/>
      <c r="V508" s="500"/>
      <c r="W508" s="314"/>
    </row>
    <row r="509" spans="1:23" s="39" customFormat="1" ht="15.75">
      <c r="A509" s="319" t="s">
        <v>187</v>
      </c>
      <c r="B509" s="444"/>
      <c r="C509" s="444"/>
      <c r="D509" s="445"/>
      <c r="E509" s="468"/>
      <c r="F509" s="468"/>
      <c r="G509" s="447" t="s">
        <v>150</v>
      </c>
      <c r="H509" s="444"/>
      <c r="I509" s="319" t="s">
        <v>188</v>
      </c>
      <c r="J509" s="445"/>
      <c r="K509" s="444"/>
      <c r="L509" s="318"/>
      <c r="M509" s="500"/>
      <c r="N509" s="500"/>
      <c r="O509" s="447" t="s">
        <v>150</v>
      </c>
      <c r="P509" s="444"/>
      <c r="Q509" s="319" t="s">
        <v>2211</v>
      </c>
      <c r="R509" s="444"/>
      <c r="S509" s="444"/>
      <c r="T509" s="444"/>
      <c r="U509" s="500"/>
      <c r="V509" s="500"/>
      <c r="W509" s="447" t="s">
        <v>150</v>
      </c>
    </row>
    <row r="510" spans="1:23" ht="15.75">
      <c r="A510" s="324" t="s">
        <v>3900</v>
      </c>
      <c r="B510" s="320"/>
      <c r="C510" s="320"/>
      <c r="D510" s="316"/>
      <c r="E510" s="468">
        <f>'Punten per wedstrijd'!H116*1.2</f>
        <v>397.55999999999966</v>
      </c>
      <c r="F510" s="468">
        <f>'Punten per wedstrijd'!H119</f>
        <v>616.39999999999964</v>
      </c>
      <c r="G510" s="313" t="s">
        <v>4556</v>
      </c>
      <c r="H510" s="320"/>
      <c r="I510" s="324" t="s">
        <v>3904</v>
      </c>
      <c r="J510" s="316"/>
      <c r="K510" s="317"/>
      <c r="L510" s="318"/>
      <c r="M510" s="468">
        <f>'Punten per wedstrijd'!H12*1.2</f>
        <v>711.11999999999989</v>
      </c>
      <c r="N510" s="468">
        <f>'Punten per wedstrijd'!H59</f>
        <v>639.79999999999973</v>
      </c>
      <c r="O510" s="313" t="s">
        <v>4557</v>
      </c>
      <c r="P510" s="320"/>
      <c r="Q510" s="324" t="s">
        <v>3909</v>
      </c>
      <c r="R510" s="317"/>
      <c r="S510" s="317"/>
      <c r="T510" s="317"/>
      <c r="U510" s="468">
        <f>'Punten per wedstrijd'!I120*1.2</f>
        <v>1138.5600000000024</v>
      </c>
      <c r="V510" s="468">
        <f>'Punten per wedstrijd'!I203</f>
        <v>684.89999999999964</v>
      </c>
      <c r="W510" s="313" t="s">
        <v>4555</v>
      </c>
    </row>
    <row r="511" spans="1:23" ht="15.75">
      <c r="A511" s="324" t="s">
        <v>2220</v>
      </c>
      <c r="B511" s="320"/>
      <c r="C511" s="320"/>
      <c r="D511" s="316"/>
      <c r="E511" s="468">
        <f>'Punten per wedstrijd'!H120*1.2</f>
        <v>782.88000000000068</v>
      </c>
      <c r="F511" s="468">
        <f>'Punten per wedstrijd'!H160</f>
        <v>635.09999999999764</v>
      </c>
      <c r="G511" s="313" t="s">
        <v>4557</v>
      </c>
      <c r="H511" s="320"/>
      <c r="I511" s="324" t="s">
        <v>3905</v>
      </c>
      <c r="J511" s="316"/>
      <c r="K511" s="317"/>
      <c r="L511" s="318"/>
      <c r="M511" s="468">
        <f>'Punten per wedstrijd'!H15*1.2</f>
        <v>747.90000000000214</v>
      </c>
      <c r="N511" s="468">
        <f>'Punten per wedstrijd'!H39</f>
        <v>321.30000000000018</v>
      </c>
      <c r="O511" s="313" t="s">
        <v>4555</v>
      </c>
      <c r="P511" s="320"/>
      <c r="Q511" s="324" t="s">
        <v>3910</v>
      </c>
      <c r="R511" s="317"/>
      <c r="S511" s="317"/>
      <c r="T511" s="317"/>
      <c r="U511" s="468">
        <f>'Punten per wedstrijd'!I143*1.2</f>
        <v>516.23999999999978</v>
      </c>
      <c r="V511" s="468">
        <f>'Punten per wedstrijd'!I116</f>
        <v>447.5</v>
      </c>
      <c r="W511" s="313" t="s">
        <v>4557</v>
      </c>
    </row>
    <row r="512" spans="1:23" ht="15.75">
      <c r="A512" s="324" t="s">
        <v>3901</v>
      </c>
      <c r="B512" s="320"/>
      <c r="C512" s="320"/>
      <c r="D512" s="316"/>
      <c r="E512" s="468">
        <f>'Punten per wedstrijd'!H143*1.2</f>
        <v>722.0400000000003</v>
      </c>
      <c r="F512" s="468">
        <f>'Punten per wedstrijd'!H203</f>
        <v>556.60000000000036</v>
      </c>
      <c r="G512" s="313" t="s">
        <v>4555</v>
      </c>
      <c r="H512" s="320"/>
      <c r="I512" s="324" t="s">
        <v>3906</v>
      </c>
      <c r="J512" s="316"/>
      <c r="K512" s="317"/>
      <c r="L512" s="318"/>
      <c r="M512" s="468">
        <f>'Punten per wedstrijd'!H46*1.2</f>
        <v>561.6</v>
      </c>
      <c r="N512" s="468">
        <f>'Punten per wedstrijd'!H16</f>
        <v>700.39999999999964</v>
      </c>
      <c r="O512" s="313" t="s">
        <v>4554</v>
      </c>
      <c r="P512" s="320"/>
      <c r="Q512" s="324" t="s">
        <v>3911</v>
      </c>
      <c r="R512" s="317"/>
      <c r="S512" s="317"/>
      <c r="T512" s="317"/>
      <c r="U512" s="468">
        <f>'Punten per wedstrijd'!I163*1.2</f>
        <v>907.68000000000063</v>
      </c>
      <c r="V512" s="468">
        <f>'Punten per wedstrijd'!I160</f>
        <v>881.39999999999873</v>
      </c>
      <c r="W512" s="313" t="s">
        <v>4557</v>
      </c>
    </row>
    <row r="513" spans="1:24" ht="15.75">
      <c r="A513" s="324" t="s">
        <v>3902</v>
      </c>
      <c r="B513" s="320"/>
      <c r="C513" s="320"/>
      <c r="D513" s="316"/>
      <c r="E513" s="468">
        <f>'Punten per wedstrijd'!H174*1.2</f>
        <v>958.31999999999925</v>
      </c>
      <c r="F513" s="468">
        <f>'Punten per wedstrijd'!H150</f>
        <v>440.20000000000027</v>
      </c>
      <c r="G513" s="313" t="s">
        <v>4555</v>
      </c>
      <c r="H513" s="320"/>
      <c r="I513" s="324" t="s">
        <v>3907</v>
      </c>
      <c r="J513" s="316"/>
      <c r="K513" s="317"/>
      <c r="L513" s="318"/>
      <c r="M513" s="468">
        <f>'Punten per wedstrijd'!H56*1.2</f>
        <v>577.67999999999734</v>
      </c>
      <c r="N513" s="468">
        <f>'Punten per wedstrijd'!H75</f>
        <v>549.69999999999982</v>
      </c>
      <c r="O513" s="313" t="s">
        <v>4557</v>
      </c>
      <c r="P513" s="320"/>
      <c r="Q513" s="324" t="s">
        <v>2290</v>
      </c>
      <c r="R513" s="317"/>
      <c r="S513" s="317"/>
      <c r="T513" s="317"/>
      <c r="U513" s="468">
        <f>'Punten per wedstrijd'!I174*1.2</f>
        <v>1329.1200000000026</v>
      </c>
      <c r="V513" s="468">
        <f>'Punten per wedstrijd'!I119</f>
        <v>856.20000000000164</v>
      </c>
      <c r="W513" s="313" t="s">
        <v>4555</v>
      </c>
    </row>
    <row r="514" spans="1:24" ht="15.75">
      <c r="A514" s="324" t="s">
        <v>3903</v>
      </c>
      <c r="B514" s="320"/>
      <c r="C514" s="320"/>
      <c r="D514" s="316"/>
      <c r="E514" s="468">
        <f>'Punten per wedstrijd'!H179*1.2</f>
        <v>953.75999999999794</v>
      </c>
      <c r="F514" s="468">
        <f>'Punten per wedstrijd'!H163</f>
        <v>441.39999999999964</v>
      </c>
      <c r="G514" s="313" t="s">
        <v>4555</v>
      </c>
      <c r="H514" s="316"/>
      <c r="I514" s="324" t="s">
        <v>3908</v>
      </c>
      <c r="J514" s="316"/>
      <c r="K514" s="317"/>
      <c r="L514" s="318"/>
      <c r="M514" s="468">
        <f>'Punten per wedstrijd'!H99*1.2</f>
        <v>742.92000000000041</v>
      </c>
      <c r="N514" s="468">
        <f>'Punten per wedstrijd'!H70</f>
        <v>548.00000000000091</v>
      </c>
      <c r="O514" s="313" t="s">
        <v>4555</v>
      </c>
      <c r="P514" s="317"/>
      <c r="Q514" s="324" t="s">
        <v>3912</v>
      </c>
      <c r="R514" s="317"/>
      <c r="S514" s="317"/>
      <c r="T514" s="317"/>
      <c r="U514" s="468">
        <f>'Punten per wedstrijd'!I179*1.2</f>
        <v>1239.1199999999992</v>
      </c>
      <c r="V514" s="468">
        <f>'Punten per wedstrijd'!I150</f>
        <v>1079.6999999999998</v>
      </c>
      <c r="W514" s="313" t="s">
        <v>4557</v>
      </c>
      <c r="X514" s="28"/>
    </row>
    <row r="515" spans="1:24" ht="15.75">
      <c r="A515" s="322"/>
      <c r="B515" s="320"/>
      <c r="C515" s="320"/>
      <c r="D515" s="316"/>
      <c r="E515" s="468"/>
      <c r="F515" s="468"/>
      <c r="G515" s="311"/>
      <c r="H515" s="316"/>
      <c r="I515" s="315"/>
      <c r="J515" s="316"/>
      <c r="K515" s="317"/>
      <c r="L515" s="318"/>
      <c r="M515" s="500"/>
      <c r="N515" s="500"/>
      <c r="O515" s="314"/>
      <c r="P515" s="317"/>
      <c r="Q515" s="315"/>
      <c r="R515" s="317"/>
      <c r="S515" s="317"/>
      <c r="T515" s="317"/>
      <c r="U515" s="500"/>
      <c r="V515" s="500"/>
      <c r="W515" s="314"/>
      <c r="X515" s="28"/>
    </row>
    <row r="516" spans="1:24" s="39" customFormat="1" ht="15.75">
      <c r="A516" s="319" t="s">
        <v>2212</v>
      </c>
      <c r="B516" s="444"/>
      <c r="C516" s="444"/>
      <c r="D516" s="445"/>
      <c r="E516" s="468"/>
      <c r="F516" s="468"/>
      <c r="G516" s="447" t="s">
        <v>150</v>
      </c>
      <c r="H516" s="444"/>
      <c r="I516" s="319" t="s">
        <v>3536</v>
      </c>
      <c r="J516" s="445"/>
      <c r="K516" s="444"/>
      <c r="L516" s="318"/>
      <c r="M516" s="500"/>
      <c r="N516" s="500"/>
      <c r="O516" s="447" t="s">
        <v>150</v>
      </c>
      <c r="P516" s="444"/>
      <c r="Q516" s="319" t="s">
        <v>3537</v>
      </c>
      <c r="R516" s="444"/>
      <c r="S516" s="444"/>
      <c r="T516" s="444"/>
      <c r="U516" s="500"/>
      <c r="V516" s="500"/>
      <c r="W516" s="447" t="s">
        <v>150</v>
      </c>
    </row>
    <row r="517" spans="1:24" ht="15.75">
      <c r="A517" s="324" t="s">
        <v>4393</v>
      </c>
      <c r="B517" s="320"/>
      <c r="C517" s="320"/>
      <c r="D517" s="316"/>
      <c r="E517" s="468">
        <f>'Punten per wedstrijd'!I70*1.2</f>
        <v>163.79999999999998</v>
      </c>
      <c r="F517" s="468">
        <f>'Punten per wedstrijd'!I12</f>
        <v>205.29999999999998</v>
      </c>
      <c r="G517" s="313" t="s">
        <v>4556</v>
      </c>
      <c r="H517" s="320"/>
      <c r="I517" s="324" t="s">
        <v>4394</v>
      </c>
      <c r="J517" s="316"/>
      <c r="K517" s="317"/>
      <c r="L517" s="318"/>
      <c r="M517" s="468">
        <f>'Punten per wedstrijd'!J12*1.2</f>
        <v>564</v>
      </c>
      <c r="N517" s="468">
        <f>'Punten per wedstrijd'!J16</f>
        <v>427.4</v>
      </c>
      <c r="O517" s="313" t="s">
        <v>4555</v>
      </c>
      <c r="P517" s="320"/>
      <c r="Q517" s="324" t="s">
        <v>4395</v>
      </c>
      <c r="R517" s="317"/>
      <c r="S517" s="317"/>
      <c r="T517" s="317"/>
      <c r="U517" s="468">
        <f>'Punten per wedstrijd'!K75*1.2</f>
        <v>256.44</v>
      </c>
      <c r="V517" s="468">
        <f>'Punten per wedstrijd'!K12</f>
        <v>485.5</v>
      </c>
      <c r="W517" s="313" t="s">
        <v>4556</v>
      </c>
      <c r="X517" s="28"/>
    </row>
    <row r="518" spans="1:24" ht="15.75">
      <c r="A518" s="324" t="s">
        <v>4396</v>
      </c>
      <c r="B518" s="320"/>
      <c r="C518" s="320"/>
      <c r="D518" s="316"/>
      <c r="E518" s="468">
        <f>'Punten per wedstrijd'!I16*1.2</f>
        <v>293.88</v>
      </c>
      <c r="F518" s="468">
        <f>'Punten per wedstrijd'!I15</f>
        <v>339.2</v>
      </c>
      <c r="G518" s="313" t="s">
        <v>4554</v>
      </c>
      <c r="H518" s="320"/>
      <c r="I518" s="324" t="s">
        <v>4397</v>
      </c>
      <c r="J518" s="316"/>
      <c r="K518" s="317"/>
      <c r="L518" s="318"/>
      <c r="M518" s="468">
        <f>'Punten per wedstrijd'!J99*1.2</f>
        <v>585</v>
      </c>
      <c r="N518" s="468">
        <f>'Punten per wedstrijd'!J56</f>
        <v>444.6</v>
      </c>
      <c r="O518" s="313" t="s">
        <v>4555</v>
      </c>
      <c r="P518" s="320"/>
      <c r="Q518" s="324" t="s">
        <v>4398</v>
      </c>
      <c r="R518" s="317"/>
      <c r="S518" s="317"/>
      <c r="T518" s="317"/>
      <c r="U518" s="468">
        <f>'Punten per wedstrijd'!K56*1.2</f>
        <v>234.48</v>
      </c>
      <c r="V518" s="468">
        <f>'Punten per wedstrijd'!K15</f>
        <v>588.69999999999993</v>
      </c>
      <c r="W518" s="313" t="s">
        <v>4556</v>
      </c>
      <c r="X518" s="28"/>
    </row>
    <row r="519" spans="1:24" ht="15.75">
      <c r="A519" s="324" t="s">
        <v>4399</v>
      </c>
      <c r="B519" s="320"/>
      <c r="C519" s="320"/>
      <c r="D519" s="316"/>
      <c r="E519" s="468">
        <f>'Punten per wedstrijd'!I59*1.2</f>
        <v>467.87999999999994</v>
      </c>
      <c r="F519" s="468">
        <f>'Punten per wedstrijd'!I39</f>
        <v>16.5</v>
      </c>
      <c r="G519" s="313" t="s">
        <v>4555</v>
      </c>
      <c r="H519" s="320"/>
      <c r="I519" s="324" t="s">
        <v>5053</v>
      </c>
      <c r="J519" s="316"/>
      <c r="K519" s="317"/>
      <c r="L519" s="318"/>
      <c r="M519" s="468">
        <f>'Punten per wedstrijd'!J46*1.2</f>
        <v>573.4799999999999</v>
      </c>
      <c r="N519" s="468">
        <f>'Punten per wedstrijd'!J59</f>
        <v>549.1</v>
      </c>
      <c r="O519" s="313" t="s">
        <v>4557</v>
      </c>
      <c r="P519" s="320"/>
      <c r="Q519" s="324" t="s">
        <v>4400</v>
      </c>
      <c r="R519" s="317"/>
      <c r="S519" s="317"/>
      <c r="T519" s="317"/>
      <c r="U519" s="468">
        <f>'Punten per wedstrijd'!K16*1.2</f>
        <v>611.16</v>
      </c>
      <c r="V519" s="468">
        <f>'Punten per wedstrijd'!K39</f>
        <v>26.400000000000002</v>
      </c>
      <c r="W519" s="313" t="s">
        <v>4555</v>
      </c>
      <c r="X519" s="28"/>
    </row>
    <row r="520" spans="1:24" ht="15.75">
      <c r="A520" s="324" t="s">
        <v>4401</v>
      </c>
      <c r="B520" s="320"/>
      <c r="C520" s="320"/>
      <c r="D520" s="316"/>
      <c r="E520" s="468">
        <f>'Punten per wedstrijd'!I56*1.2</f>
        <v>302.76</v>
      </c>
      <c r="F520" s="468">
        <f>'Punten per wedstrijd'!I46</f>
        <v>291.7</v>
      </c>
      <c r="G520" s="313" t="s">
        <v>4557</v>
      </c>
      <c r="H520" s="320"/>
      <c r="I520" s="324" t="s">
        <v>4402</v>
      </c>
      <c r="J520" s="316"/>
      <c r="K520" s="317"/>
      <c r="L520" s="318"/>
      <c r="M520" s="468">
        <f>'Punten per wedstrijd'!J39*1.2</f>
        <v>162.6</v>
      </c>
      <c r="N520" s="468">
        <f>'Punten per wedstrijd'!J70</f>
        <v>447.8</v>
      </c>
      <c r="O520" s="313" t="s">
        <v>4556</v>
      </c>
      <c r="P520" s="320"/>
      <c r="Q520" s="324" t="s">
        <v>4403</v>
      </c>
      <c r="R520" s="317"/>
      <c r="S520" s="317"/>
      <c r="T520" s="317"/>
      <c r="U520" s="468">
        <f>'Punten per wedstrijd'!K59*1.2</f>
        <v>524.52</v>
      </c>
      <c r="V520" s="468">
        <f>'Punten per wedstrijd'!K70</f>
        <v>150.69999999999999</v>
      </c>
      <c r="W520" s="313" t="s">
        <v>4555</v>
      </c>
      <c r="X520" s="28"/>
    </row>
    <row r="521" spans="1:24" ht="15.75">
      <c r="A521" s="324" t="s">
        <v>4404</v>
      </c>
      <c r="B521" s="320"/>
      <c r="C521" s="320"/>
      <c r="D521" s="316"/>
      <c r="E521" s="468">
        <f>'Punten per wedstrijd'!I75*1.2</f>
        <v>313.8</v>
      </c>
      <c r="F521" s="468">
        <f>'Punten per wedstrijd'!I99</f>
        <v>262.10000000000002</v>
      </c>
      <c r="G521" s="313" t="s">
        <v>4557</v>
      </c>
      <c r="H521" s="320"/>
      <c r="I521" s="324" t="s">
        <v>4405</v>
      </c>
      <c r="J521" s="316"/>
      <c r="K521" s="317"/>
      <c r="L521" s="318"/>
      <c r="M521" s="468">
        <f>'Punten per wedstrijd'!J15*1.2</f>
        <v>584.46</v>
      </c>
      <c r="N521" s="468">
        <f>'Punten per wedstrijd'!J75</f>
        <v>419</v>
      </c>
      <c r="O521" s="313" t="s">
        <v>4555</v>
      </c>
      <c r="P521" s="320"/>
      <c r="Q521" s="324" t="s">
        <v>4406</v>
      </c>
      <c r="R521" s="317"/>
      <c r="S521" s="317"/>
      <c r="T521" s="317"/>
      <c r="U521" s="468">
        <f>'Punten per wedstrijd'!K46*1.2</f>
        <v>285.83999999999997</v>
      </c>
      <c r="V521" s="468">
        <f>'Punten per wedstrijd'!K99</f>
        <v>168.8</v>
      </c>
      <c r="W521" s="313" t="s">
        <v>4555</v>
      </c>
      <c r="X521" s="28"/>
    </row>
    <row r="522" spans="1:24" ht="15.75">
      <c r="A522" s="323"/>
      <c r="B522" s="320"/>
      <c r="C522" s="320"/>
      <c r="D522" s="316"/>
      <c r="E522" s="468"/>
      <c r="F522" s="468"/>
      <c r="G522" s="313"/>
      <c r="H522" s="320"/>
      <c r="I522" s="320"/>
      <c r="J522" s="316"/>
      <c r="K522" s="317"/>
      <c r="L522" s="318"/>
      <c r="M522" s="500"/>
      <c r="N522" s="500"/>
      <c r="O522" s="314"/>
      <c r="P522" s="320"/>
      <c r="Q522" s="316"/>
      <c r="R522" s="317"/>
      <c r="S522" s="317"/>
      <c r="T522" s="317"/>
      <c r="U522" s="500"/>
      <c r="V522" s="500"/>
      <c r="W522" s="314"/>
      <c r="X522" s="28"/>
    </row>
    <row r="523" spans="1:24" s="39" customFormat="1" ht="15.75">
      <c r="A523" s="319" t="s">
        <v>191</v>
      </c>
      <c r="B523" s="444"/>
      <c r="C523" s="444"/>
      <c r="D523" s="445"/>
      <c r="E523" s="468"/>
      <c r="F523" s="468"/>
      <c r="G523" s="447" t="s">
        <v>150</v>
      </c>
      <c r="H523" s="444"/>
      <c r="I523" s="319" t="s">
        <v>192</v>
      </c>
      <c r="J523" s="445"/>
      <c r="K523" s="444"/>
      <c r="L523" s="318"/>
      <c r="M523" s="500"/>
      <c r="N523" s="500"/>
      <c r="O523" s="447" t="s">
        <v>150</v>
      </c>
      <c r="P523" s="444"/>
      <c r="Q523" s="319" t="s">
        <v>195</v>
      </c>
      <c r="R523" s="444"/>
      <c r="S523" s="444"/>
      <c r="T523" s="444"/>
      <c r="U523" s="500"/>
      <c r="V523" s="500"/>
      <c r="W523" s="447" t="s">
        <v>150</v>
      </c>
    </row>
    <row r="524" spans="1:24" ht="15.75">
      <c r="A524" s="324" t="s">
        <v>4407</v>
      </c>
      <c r="B524" s="320"/>
      <c r="C524" s="320"/>
      <c r="D524" s="316"/>
      <c r="E524" s="468">
        <f>'Punten per wedstrijd'!L70*1.2</f>
        <v>84.24</v>
      </c>
      <c r="F524" s="468">
        <f>'Punten per wedstrijd'!L16</f>
        <v>388.4</v>
      </c>
      <c r="G524" s="313" t="s">
        <v>4556</v>
      </c>
      <c r="H524" s="320"/>
      <c r="I524" s="324" t="s">
        <v>4408</v>
      </c>
      <c r="J524" s="316"/>
      <c r="K524" s="317"/>
      <c r="L524" s="318"/>
      <c r="M524" s="468">
        <f>'Punten per wedstrijd'!M46*1.2</f>
        <v>504.59999999999889</v>
      </c>
      <c r="N524" s="468">
        <f>'Punten per wedstrijd'!M12</f>
        <v>416</v>
      </c>
      <c r="O524" s="313" t="s">
        <v>4557</v>
      </c>
      <c r="P524" s="320"/>
      <c r="Q524" s="324" t="s">
        <v>4409</v>
      </c>
      <c r="R524" s="317"/>
      <c r="S524" s="317"/>
      <c r="T524" s="317"/>
      <c r="U524" s="468"/>
      <c r="V524" s="468"/>
      <c r="W524" s="314"/>
      <c r="X524" s="28"/>
    </row>
    <row r="525" spans="1:24" ht="15.75">
      <c r="A525" s="324" t="s">
        <v>4410</v>
      </c>
      <c r="B525" s="320"/>
      <c r="C525" s="320"/>
      <c r="D525" s="316"/>
      <c r="E525" s="468">
        <f>'Punten per wedstrijd'!L15*1.2</f>
        <v>516.83999999999992</v>
      </c>
      <c r="F525" s="468">
        <f>'Punten per wedstrijd'!L46</f>
        <v>85.9</v>
      </c>
      <c r="G525" s="313" t="s">
        <v>4555</v>
      </c>
      <c r="H525" s="320"/>
      <c r="I525" s="324" t="s">
        <v>4411</v>
      </c>
      <c r="J525" s="316"/>
      <c r="K525" s="317"/>
      <c r="L525" s="318"/>
      <c r="M525" s="468">
        <f>'Punten per wedstrijd'!M99*1.2</f>
        <v>667.43999999999971</v>
      </c>
      <c r="N525" s="468">
        <f>'Punten per wedstrijd'!M15</f>
        <v>761.30000000000291</v>
      </c>
      <c r="O525" s="313" t="s">
        <v>4554</v>
      </c>
      <c r="P525" s="320"/>
      <c r="Q525" s="324" t="s">
        <v>4412</v>
      </c>
      <c r="R525" s="317"/>
      <c r="S525" s="317"/>
      <c r="T525" s="317"/>
      <c r="U525" s="468"/>
      <c r="V525" s="468"/>
      <c r="W525" s="314"/>
      <c r="X525" s="28"/>
    </row>
    <row r="526" spans="1:24" ht="15.75">
      <c r="A526" s="324" t="s">
        <v>4413</v>
      </c>
      <c r="B526" s="320"/>
      <c r="C526" s="320"/>
      <c r="D526" s="316"/>
      <c r="E526" s="468">
        <f>'Punten per wedstrijd'!L12*1.2</f>
        <v>458.16</v>
      </c>
      <c r="F526" s="468">
        <f>'Punten per wedstrijd'!L56</f>
        <v>280.7</v>
      </c>
      <c r="G526" s="313" t="s">
        <v>4555</v>
      </c>
      <c r="H526" s="320"/>
      <c r="I526" s="324" t="s">
        <v>4414</v>
      </c>
      <c r="J526" s="316"/>
      <c r="K526" s="317"/>
      <c r="L526" s="318"/>
      <c r="M526" s="468">
        <f>'Punten per wedstrijd'!M59*1.2</f>
        <v>861.3599999999991</v>
      </c>
      <c r="N526" s="468">
        <f>'Punten per wedstrijd'!M16</f>
        <v>453.40000000000055</v>
      </c>
      <c r="O526" s="313" t="s">
        <v>4555</v>
      </c>
      <c r="P526" s="320"/>
      <c r="Q526" s="324" t="s">
        <v>5056</v>
      </c>
      <c r="R526" s="317"/>
      <c r="S526" s="317"/>
      <c r="T526" s="317"/>
      <c r="U526" s="468"/>
      <c r="V526" s="468"/>
      <c r="W526" s="313"/>
      <c r="X526" s="28"/>
    </row>
    <row r="527" spans="1:24" ht="15.75">
      <c r="A527" s="324" t="s">
        <v>4415</v>
      </c>
      <c r="B527" s="320"/>
      <c r="C527" s="320"/>
      <c r="D527" s="316"/>
      <c r="E527" s="468">
        <f>'Punten per wedstrijd'!L99*1.2</f>
        <v>234.6</v>
      </c>
      <c r="F527" s="468">
        <f>'Punten per wedstrijd'!L59</f>
        <v>389.8</v>
      </c>
      <c r="G527" s="313" t="s">
        <v>4556</v>
      </c>
      <c r="H527" s="320"/>
      <c r="I527" s="324" t="s">
        <v>4416</v>
      </c>
      <c r="J527" s="316"/>
      <c r="K527" s="317"/>
      <c r="L527" s="318"/>
      <c r="M527" s="468">
        <f>'Punten per wedstrijd'!M56*1.2</f>
        <v>564</v>
      </c>
      <c r="N527" s="468">
        <f>'Punten per wedstrijd'!M39</f>
        <v>211.09999999999945</v>
      </c>
      <c r="O527" s="313" t="s">
        <v>4555</v>
      </c>
      <c r="P527" s="320"/>
      <c r="Q527" s="324" t="s">
        <v>4417</v>
      </c>
      <c r="R527" s="317"/>
      <c r="S527" s="317"/>
      <c r="T527" s="317"/>
      <c r="U527" s="468"/>
      <c r="V527" s="468"/>
      <c r="W527" s="313"/>
      <c r="X527" s="28"/>
    </row>
    <row r="528" spans="1:24" ht="15.75">
      <c r="A528" s="324" t="s">
        <v>2278</v>
      </c>
      <c r="B528" s="320"/>
      <c r="C528" s="320"/>
      <c r="D528" s="316"/>
      <c r="E528" s="468">
        <f>'Punten per wedstrijd'!L39*1.2</f>
        <v>135</v>
      </c>
      <c r="F528" s="468">
        <f>'Punten per wedstrijd'!L75</f>
        <v>204.29999999999998</v>
      </c>
      <c r="G528" s="313" t="s">
        <v>4556</v>
      </c>
      <c r="H528" s="320"/>
      <c r="I528" s="324" t="s">
        <v>4418</v>
      </c>
      <c r="J528" s="316"/>
      <c r="K528" s="317"/>
      <c r="L528" s="318"/>
      <c r="M528" s="468">
        <f>'Punten per wedstrijd'!M75*1.2</f>
        <v>606.83999999999867</v>
      </c>
      <c r="N528" s="468">
        <f>'Punten per wedstrijd'!M70</f>
        <v>383.00000000000182</v>
      </c>
      <c r="O528" s="313" t="s">
        <v>4555</v>
      </c>
      <c r="P528" s="320"/>
      <c r="Q528" s="324" t="s">
        <v>4419</v>
      </c>
      <c r="R528" s="317"/>
      <c r="S528" s="317"/>
      <c r="T528" s="317"/>
      <c r="U528" s="468"/>
      <c r="V528" s="468"/>
      <c r="W528" s="313"/>
      <c r="X528" s="28"/>
    </row>
    <row r="529" spans="1:26" ht="15.75">
      <c r="A529" s="323"/>
      <c r="B529" s="320"/>
      <c r="C529" s="320"/>
      <c r="D529" s="316"/>
      <c r="E529" s="468"/>
      <c r="F529" s="468"/>
      <c r="G529" s="311"/>
      <c r="H529" s="320"/>
      <c r="I529" s="316"/>
      <c r="J529" s="316"/>
      <c r="K529" s="317"/>
      <c r="L529" s="318"/>
      <c r="M529" s="500"/>
      <c r="N529" s="500"/>
      <c r="O529" s="314"/>
      <c r="P529" s="320"/>
      <c r="Q529" s="317"/>
      <c r="R529" s="317"/>
      <c r="S529" s="317"/>
      <c r="T529" s="317"/>
      <c r="U529" s="500"/>
      <c r="V529" s="500"/>
      <c r="W529" s="314"/>
      <c r="X529" s="28"/>
    </row>
    <row r="530" spans="1:26" s="39" customFormat="1" ht="15.75">
      <c r="A530" s="319" t="s">
        <v>193</v>
      </c>
      <c r="B530" s="444"/>
      <c r="C530" s="444"/>
      <c r="D530" s="445"/>
      <c r="E530" s="468"/>
      <c r="F530" s="468"/>
      <c r="G530" s="447" t="s">
        <v>150</v>
      </c>
      <c r="H530" s="444"/>
      <c r="I530" s="319" t="s">
        <v>194</v>
      </c>
      <c r="J530" s="445"/>
      <c r="K530" s="444"/>
      <c r="L530" s="318"/>
      <c r="M530" s="500"/>
      <c r="N530" s="500"/>
      <c r="O530" s="447" t="s">
        <v>150</v>
      </c>
      <c r="P530" s="444"/>
      <c r="Q530" s="319" t="s">
        <v>176</v>
      </c>
      <c r="R530" s="444"/>
      <c r="S530" s="444"/>
      <c r="T530" s="444"/>
      <c r="U530" s="500"/>
      <c r="V530" s="500"/>
      <c r="W530" s="447" t="s">
        <v>150</v>
      </c>
    </row>
    <row r="531" spans="1:26" ht="15.75">
      <c r="A531" s="324" t="s">
        <v>4420</v>
      </c>
      <c r="B531" s="320"/>
      <c r="C531" s="320"/>
      <c r="D531" s="316"/>
      <c r="E531" s="468"/>
      <c r="F531" s="468"/>
      <c r="G531" s="313"/>
      <c r="H531" s="320"/>
      <c r="I531" s="324" t="s">
        <v>4421</v>
      </c>
      <c r="J531" s="316"/>
      <c r="K531" s="317"/>
      <c r="L531" s="318"/>
      <c r="M531" s="468"/>
      <c r="N531" s="468"/>
      <c r="O531" s="314"/>
      <c r="P531" s="320"/>
      <c r="Q531" s="324" t="s">
        <v>4422</v>
      </c>
      <c r="R531" s="317"/>
      <c r="S531" s="317"/>
      <c r="T531" s="317"/>
      <c r="U531" s="468"/>
      <c r="V531" s="468"/>
      <c r="W531" s="314"/>
      <c r="X531" s="28"/>
    </row>
    <row r="532" spans="1:26" ht="15.75">
      <c r="A532" s="324" t="s">
        <v>2216</v>
      </c>
      <c r="B532" s="320"/>
      <c r="C532" s="320"/>
      <c r="D532" s="316"/>
      <c r="E532" s="468"/>
      <c r="F532" s="468"/>
      <c r="G532" s="314"/>
      <c r="H532" s="320"/>
      <c r="I532" s="324" t="s">
        <v>4423</v>
      </c>
      <c r="J532" s="316"/>
      <c r="K532" s="317"/>
      <c r="L532" s="318"/>
      <c r="M532" s="468"/>
      <c r="N532" s="468"/>
      <c r="O532" s="314"/>
      <c r="P532" s="320"/>
      <c r="Q532" s="324" t="s">
        <v>4424</v>
      </c>
      <c r="R532" s="317"/>
      <c r="S532" s="317"/>
      <c r="T532" s="317"/>
      <c r="U532" s="468"/>
      <c r="V532" s="468"/>
      <c r="W532" s="313"/>
      <c r="X532" s="28"/>
    </row>
    <row r="533" spans="1:26" ht="15.75">
      <c r="A533" s="324" t="s">
        <v>4425</v>
      </c>
      <c r="B533" s="320"/>
      <c r="C533" s="320"/>
      <c r="D533" s="316"/>
      <c r="E533" s="468"/>
      <c r="F533" s="468"/>
      <c r="G533" s="313"/>
      <c r="H533" s="320"/>
      <c r="I533" s="324" t="s">
        <v>4426</v>
      </c>
      <c r="J533" s="316"/>
      <c r="K533" s="317"/>
      <c r="L533" s="318"/>
      <c r="M533" s="468"/>
      <c r="N533" s="468"/>
      <c r="O533" s="314"/>
      <c r="P533" s="320"/>
      <c r="Q533" s="324" t="s">
        <v>4427</v>
      </c>
      <c r="R533" s="317"/>
      <c r="S533" s="317"/>
      <c r="T533" s="317"/>
      <c r="U533" s="468"/>
      <c r="V533" s="468"/>
      <c r="W533" s="314"/>
      <c r="X533" s="28"/>
    </row>
    <row r="534" spans="1:26" ht="15.75">
      <c r="A534" s="324" t="s">
        <v>4428</v>
      </c>
      <c r="B534" s="320"/>
      <c r="C534" s="320"/>
      <c r="D534" s="316"/>
      <c r="E534" s="468"/>
      <c r="F534" s="468"/>
      <c r="G534" s="313"/>
      <c r="H534" s="320"/>
      <c r="I534" s="324" t="s">
        <v>4429</v>
      </c>
      <c r="J534" s="316"/>
      <c r="K534" s="317"/>
      <c r="L534" s="318"/>
      <c r="M534" s="468"/>
      <c r="N534" s="468"/>
      <c r="O534" s="313"/>
      <c r="P534" s="320"/>
      <c r="Q534" s="324" t="s">
        <v>2294</v>
      </c>
      <c r="R534" s="317"/>
      <c r="S534" s="317"/>
      <c r="T534" s="317"/>
      <c r="U534" s="468"/>
      <c r="V534" s="468"/>
      <c r="W534" s="314"/>
      <c r="X534" s="28"/>
    </row>
    <row r="535" spans="1:26" ht="15.75">
      <c r="A535" s="324" t="s">
        <v>4430</v>
      </c>
      <c r="B535" s="320"/>
      <c r="C535" s="320"/>
      <c r="D535" s="316"/>
      <c r="E535" s="468"/>
      <c r="F535" s="468"/>
      <c r="G535" s="314"/>
      <c r="H535" s="316"/>
      <c r="I535" s="324" t="s">
        <v>4431</v>
      </c>
      <c r="J535" s="316"/>
      <c r="K535" s="317"/>
      <c r="L535" s="318"/>
      <c r="M535" s="468"/>
      <c r="N535" s="468"/>
      <c r="O535" s="313"/>
      <c r="P535" s="317"/>
      <c r="Q535" s="324" t="s">
        <v>4432</v>
      </c>
      <c r="R535" s="317"/>
      <c r="S535" s="317"/>
      <c r="T535" s="317"/>
      <c r="U535" s="468"/>
      <c r="V535" s="468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3463</v>
      </c>
      <c r="E538" s="435" t="s">
        <v>3464</v>
      </c>
      <c r="F538" s="435" t="s">
        <v>843</v>
      </c>
      <c r="G538" s="435" t="s">
        <v>2528</v>
      </c>
      <c r="H538" s="435" t="s">
        <v>2197</v>
      </c>
      <c r="I538" s="435" t="s">
        <v>2199</v>
      </c>
      <c r="J538" s="435" t="s">
        <v>2198</v>
      </c>
      <c r="K538" s="435" t="s">
        <v>2200</v>
      </c>
      <c r="L538" s="435" t="s">
        <v>2201</v>
      </c>
      <c r="M538" s="435" t="s">
        <v>2202</v>
      </c>
      <c r="N538" s="435" t="s">
        <v>2203</v>
      </c>
      <c r="O538" s="435" t="s">
        <v>2204</v>
      </c>
      <c r="P538" s="435" t="s">
        <v>2205</v>
      </c>
      <c r="Q538" s="435" t="s">
        <v>2206</v>
      </c>
      <c r="R538" s="435" t="s">
        <v>2207</v>
      </c>
      <c r="S538" s="435" t="s">
        <v>2184</v>
      </c>
      <c r="T538" s="435" t="s">
        <v>2208</v>
      </c>
      <c r="U538" s="435" t="s">
        <v>2209</v>
      </c>
      <c r="V538" s="202" t="s">
        <v>40</v>
      </c>
      <c r="W538" s="28"/>
      <c r="X538" s="28"/>
      <c r="Y538" s="28"/>
      <c r="Z538" s="28"/>
    </row>
    <row r="539" spans="1:26" ht="15.75">
      <c r="A539" s="28" t="s">
        <v>2281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/>
      <c r="S539" s="50"/>
      <c r="T539" s="50"/>
      <c r="U539" s="50"/>
      <c r="V539" s="303">
        <f>SUM(D539:U539)</f>
        <v>31</v>
      </c>
      <c r="W539" s="503">
        <f>SUM($E$497,$N$500,$U$497,$F$504,$M$504,$V$505,$F$510,$M$511,$V$513,$F$518,$M$521,$V$518,$E$525,$N$525,$U$526,$E$531,$N$532,$U$534)</f>
        <v>7816.1800000000048</v>
      </c>
      <c r="X539" s="50" t="s">
        <v>100</v>
      </c>
      <c r="Y539" s="28"/>
      <c r="Z539" s="28"/>
    </row>
    <row r="540" spans="1:26" ht="15.75">
      <c r="A540" s="281" t="s">
        <v>3611</v>
      </c>
      <c r="D540" s="50">
        <v>1</v>
      </c>
      <c r="E540" s="50">
        <v>3</v>
      </c>
      <c r="F540" s="50">
        <v>3</v>
      </c>
      <c r="G540" s="50">
        <v>3</v>
      </c>
      <c r="H540" s="50">
        <v>0</v>
      </c>
      <c r="I540" s="50">
        <v>3</v>
      </c>
      <c r="J540" s="50">
        <v>3</v>
      </c>
      <c r="K540" s="50">
        <v>1</v>
      </c>
      <c r="L540" s="50">
        <v>2</v>
      </c>
      <c r="M540" s="50">
        <v>2</v>
      </c>
      <c r="N540" s="50">
        <v>0</v>
      </c>
      <c r="O540" s="50">
        <v>0</v>
      </c>
      <c r="P540" s="50">
        <v>3</v>
      </c>
      <c r="Q540" s="50">
        <v>3</v>
      </c>
      <c r="R540" s="50"/>
      <c r="S540" s="50"/>
      <c r="T540" s="50"/>
      <c r="U540" s="50"/>
      <c r="V540" s="303">
        <f>SUM(D540:U540)</f>
        <v>27</v>
      </c>
      <c r="W540" s="503">
        <f>SUM($F$500,$M$500,$V$496,$E$507,$N$507,$U$506,$E$514,$N$513,$U$514,$E$521,$N$521,$U$517,$F$528,$M$528,$V$527,$F$535,$M$534,$V$535)</f>
        <v>7465.0599999999913</v>
      </c>
      <c r="X540" s="50" t="s">
        <v>101</v>
      </c>
      <c r="Y540" s="28"/>
      <c r="Z540" s="28"/>
    </row>
    <row r="541" spans="1:26" ht="15.75">
      <c r="A541" s="278" t="s">
        <v>3609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/>
      <c r="S541" s="50"/>
      <c r="T541" s="50"/>
      <c r="U541" s="50"/>
      <c r="V541" s="303">
        <f>SUM(D541:U541)</f>
        <v>24</v>
      </c>
      <c r="W541" s="503">
        <f>SUM($F$499,$M$497,$V$497,$E$505,$N$506,$U$504,$F$511,$M$513,$V$512,$E$520,$N$518,$U$518,$F$526,$M$527,$V$525,$E$532,$N$534,$U$533)</f>
        <v>7003.5599999999949</v>
      </c>
      <c r="X541" s="50" t="s">
        <v>102</v>
      </c>
      <c r="Y541" s="28"/>
      <c r="Z541" s="28"/>
    </row>
    <row r="542" spans="1:26" ht="15.75">
      <c r="A542" s="411" t="s">
        <v>2248</v>
      </c>
      <c r="B542" s="327"/>
      <c r="C542" s="327"/>
      <c r="D542" s="330">
        <v>0</v>
      </c>
      <c r="E542" s="330">
        <v>3</v>
      </c>
      <c r="F542" s="330">
        <v>1</v>
      </c>
      <c r="G542" s="330">
        <v>3</v>
      </c>
      <c r="H542" s="330">
        <v>3</v>
      </c>
      <c r="I542" s="330">
        <v>0</v>
      </c>
      <c r="J542" s="330">
        <v>2</v>
      </c>
      <c r="K542" s="330">
        <v>2</v>
      </c>
      <c r="L542" s="330">
        <v>3</v>
      </c>
      <c r="M542" s="330">
        <v>1</v>
      </c>
      <c r="N542" s="330">
        <v>0</v>
      </c>
      <c r="O542" s="330">
        <v>3</v>
      </c>
      <c r="P542" s="330">
        <v>3</v>
      </c>
      <c r="Q542" s="330">
        <v>0</v>
      </c>
      <c r="R542" s="330"/>
      <c r="S542" s="330"/>
      <c r="T542" s="330"/>
      <c r="U542" s="330"/>
      <c r="V542" s="329">
        <f>SUM(D542:U542)</f>
        <v>24</v>
      </c>
      <c r="W542" s="504">
        <f>SUM($F$497,$M$496,$V$498,$E$503,$M$505,$V$506,$E$511,$N$512,$U$510,$E$518,$N$517,$U$519,$F$524,$N$526,$U$527,$F$532,$M$533,$V$531)</f>
        <v>6846.52</v>
      </c>
      <c r="X542" s="50" t="s">
        <v>103</v>
      </c>
      <c r="Y542" s="28"/>
      <c r="Z542" s="28"/>
    </row>
    <row r="543" spans="1:26" ht="15.75">
      <c r="A543" s="63" t="s">
        <v>3610</v>
      </c>
      <c r="D543" s="50">
        <v>0</v>
      </c>
      <c r="E543" s="50">
        <v>2</v>
      </c>
      <c r="F543" s="50">
        <v>0</v>
      </c>
      <c r="G543" s="50">
        <v>3</v>
      </c>
      <c r="H543" s="50">
        <v>0</v>
      </c>
      <c r="I543" s="50">
        <v>2</v>
      </c>
      <c r="J543" s="50">
        <v>0</v>
      </c>
      <c r="K543" s="50">
        <v>1</v>
      </c>
      <c r="L543" s="50">
        <v>2</v>
      </c>
      <c r="M543" s="50">
        <v>3</v>
      </c>
      <c r="N543" s="50">
        <v>1</v>
      </c>
      <c r="O543" s="50">
        <v>3</v>
      </c>
      <c r="P543" s="50">
        <v>3</v>
      </c>
      <c r="Q543" s="50">
        <v>3</v>
      </c>
      <c r="R543" s="50"/>
      <c r="S543" s="50"/>
      <c r="T543" s="50"/>
      <c r="U543" s="50"/>
      <c r="V543" s="303">
        <f>SUM(D543:U543)</f>
        <v>23</v>
      </c>
      <c r="W543" s="503">
        <f>SUM($F$498,$M$498,$V$499,$E$506,$N$505,$U$505,$F$514,$N$510,$U$512,$E$519,$N$519,$U$520,$F$527,$M$526,$V$526,$E$535,$M$531,$V$533)</f>
        <v>7664.4999999999991</v>
      </c>
      <c r="X543" s="28"/>
      <c r="Y543" s="28"/>
      <c r="Z543" s="28"/>
    </row>
    <row r="544" spans="1:26" ht="15.75">
      <c r="A544" s="28" t="s">
        <v>2284</v>
      </c>
      <c r="D544" s="50">
        <v>3</v>
      </c>
      <c r="E544" s="50">
        <v>0</v>
      </c>
      <c r="F544" s="50">
        <v>3</v>
      </c>
      <c r="G544" s="50">
        <v>0</v>
      </c>
      <c r="H544" s="50">
        <v>3</v>
      </c>
      <c r="I544" s="50">
        <v>0</v>
      </c>
      <c r="J544" s="50">
        <v>3</v>
      </c>
      <c r="K544" s="50">
        <v>0</v>
      </c>
      <c r="L544" s="50">
        <v>3</v>
      </c>
      <c r="M544" s="50">
        <v>0</v>
      </c>
      <c r="N544" s="50">
        <v>3</v>
      </c>
      <c r="O544" s="50">
        <v>0</v>
      </c>
      <c r="P544" s="50">
        <v>0</v>
      </c>
      <c r="Q544" s="50">
        <v>0</v>
      </c>
      <c r="R544" s="50"/>
      <c r="S544" s="50"/>
      <c r="T544" s="50"/>
      <c r="U544" s="50"/>
      <c r="V544" s="303">
        <f>SUM(D544:U544)</f>
        <v>18</v>
      </c>
      <c r="W544" s="503">
        <f>SUM($F$496,$M$499,$U$499,$F$503,$M$507,$V$504,$E$513,$N$514,$U$513,$E$517,$N$520,$V$520,$E$524,$N$528,$U$525,$F$534,$M$535,$V$534)</f>
        <v>7265.7200000000048</v>
      </c>
      <c r="X544" s="28"/>
      <c r="Y544" s="28"/>
      <c r="Z544" s="28"/>
    </row>
    <row r="545" spans="1:26" ht="15.75">
      <c r="A545" s="63" t="s">
        <v>3612</v>
      </c>
      <c r="D545" s="50">
        <v>2</v>
      </c>
      <c r="E545" s="50">
        <v>0</v>
      </c>
      <c r="F545" s="50">
        <v>3</v>
      </c>
      <c r="G545" s="50">
        <v>0</v>
      </c>
      <c r="H545" s="50">
        <v>1</v>
      </c>
      <c r="I545" s="50">
        <v>3</v>
      </c>
      <c r="J545" s="50">
        <v>0</v>
      </c>
      <c r="K545" s="50">
        <v>3</v>
      </c>
      <c r="L545" s="50">
        <v>0</v>
      </c>
      <c r="M545" s="50">
        <v>1</v>
      </c>
      <c r="N545" s="50">
        <v>3</v>
      </c>
      <c r="O545" s="50">
        <v>0</v>
      </c>
      <c r="P545" s="50">
        <v>0</v>
      </c>
      <c r="Q545" s="50">
        <v>1</v>
      </c>
      <c r="R545" s="50"/>
      <c r="S545" s="50"/>
      <c r="T545" s="50"/>
      <c r="U545" s="50"/>
      <c r="V545" s="303">
        <f>SUM(D545:U545)</f>
        <v>17</v>
      </c>
      <c r="W545" s="503">
        <f>SUM($E$500,$N$497,$U$500,$F$506,$N$504,$U$507,$F$512,$M$514,$V$510,$F$521,$M$518,$V$521,$E$527,$M$525,$V$528,$E$533,$N$535,$U$531)</f>
        <v>7261.680000000003</v>
      </c>
      <c r="X545" s="28"/>
      <c r="Y545" s="28"/>
      <c r="Z545" s="28"/>
    </row>
    <row r="546" spans="1:26" ht="15.75">
      <c r="A546" s="281" t="s">
        <v>2251</v>
      </c>
      <c r="D546" s="50">
        <v>0</v>
      </c>
      <c r="E546" s="50">
        <v>1</v>
      </c>
      <c r="F546" s="50">
        <v>0</v>
      </c>
      <c r="G546" s="50">
        <v>0</v>
      </c>
      <c r="H546" s="50">
        <v>3</v>
      </c>
      <c r="I546" s="50">
        <v>3</v>
      </c>
      <c r="J546" s="50">
        <v>0</v>
      </c>
      <c r="K546" s="50">
        <v>1</v>
      </c>
      <c r="L546" s="50">
        <v>1</v>
      </c>
      <c r="M546" s="50">
        <v>1</v>
      </c>
      <c r="N546" s="50">
        <v>2</v>
      </c>
      <c r="O546" s="50">
        <v>3</v>
      </c>
      <c r="P546" s="50">
        <v>0</v>
      </c>
      <c r="Q546" s="50">
        <v>2</v>
      </c>
      <c r="R546" s="50"/>
      <c r="S546" s="50"/>
      <c r="T546" s="50"/>
      <c r="U546" s="50"/>
      <c r="V546" s="303">
        <f>SUM(D546:U546)</f>
        <v>17</v>
      </c>
      <c r="W546" s="503">
        <f>SUM($E$499,$N$498,$V$500,$E$504,$N$503,$U$503,$F$513,$M$512,$V$514,$F$520,$M$519,$U$521,$F$525,$M$524,$V$524,$E$534,$N$533,$U$535)</f>
        <v>6313.2599999999975</v>
      </c>
      <c r="X546" s="28"/>
      <c r="Y546" s="28"/>
      <c r="Z546" s="28"/>
    </row>
    <row r="547" spans="1:26" ht="15.75">
      <c r="A547" s="281" t="s">
        <v>3608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2</v>
      </c>
      <c r="L547" s="50">
        <v>1</v>
      </c>
      <c r="M547" s="50">
        <v>3</v>
      </c>
      <c r="N547" s="50">
        <v>3</v>
      </c>
      <c r="O547" s="50">
        <v>3</v>
      </c>
      <c r="P547" s="50">
        <v>3</v>
      </c>
      <c r="Q547" s="50">
        <v>1</v>
      </c>
      <c r="R547" s="50"/>
      <c r="S547" s="50"/>
      <c r="T547" s="50"/>
      <c r="U547" s="50"/>
      <c r="V547" s="303">
        <f>SUM(D547:U547)</f>
        <v>16</v>
      </c>
      <c r="W547" s="503">
        <f>SUM($E$496,$N$496,$U$496,$F$505,$M$503,$V$507,$E$510,$M$510,$V$511,$F$517,$M$517,$V$517,$E$526,$N$524,$U$528,$F$531,$N$531,$U$532)</f>
        <v>5054.7599999999984</v>
      </c>
      <c r="X547" s="28"/>
      <c r="Y547" s="28"/>
      <c r="Z547" s="28"/>
    </row>
    <row r="548" spans="1:26" ht="15.75">
      <c r="A548" s="278" t="s">
        <v>2270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/>
      <c r="S548" s="50"/>
      <c r="T548" s="50"/>
      <c r="U548" s="50"/>
      <c r="V548" s="303">
        <f>SUM(D548:U548)</f>
        <v>13</v>
      </c>
      <c r="W548" s="503">
        <f>SUM($E$498,$N$499,$U$498,$F$507,$M$506,$V$503,$E$512,$N$511,$U$511,$F$519,$M$520,$V$519,$E$528,$N$527,$U$524,$F$533,$M$532,$V$532)</f>
        <v>4909.2000000000007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9">
        <f>SUM(W539:W548)</f>
        <v>67600.439999999988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9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3474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4"/>
      <c r="C555" s="444"/>
      <c r="D555" s="445"/>
      <c r="E555" s="445"/>
      <c r="F555" s="445"/>
      <c r="G555" s="318" t="s">
        <v>150</v>
      </c>
      <c r="H555" s="444"/>
      <c r="I555" s="319" t="s">
        <v>184</v>
      </c>
      <c r="J555" s="445"/>
      <c r="K555" s="444"/>
      <c r="L555" s="318"/>
      <c r="M555" s="444"/>
      <c r="N555" s="444"/>
      <c r="O555" s="318" t="s">
        <v>150</v>
      </c>
      <c r="P555" s="444"/>
      <c r="Q555" s="319" t="s">
        <v>843</v>
      </c>
      <c r="R555" s="444"/>
      <c r="S555" s="444"/>
      <c r="T555" s="444"/>
      <c r="U555" s="444"/>
      <c r="V555" s="444"/>
      <c r="W555" s="447" t="s">
        <v>150</v>
      </c>
    </row>
    <row r="556" spans="1:26" ht="15.75">
      <c r="A556" s="324" t="s">
        <v>3650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4556</v>
      </c>
      <c r="H556" s="320"/>
      <c r="I556" s="324" t="s">
        <v>3913</v>
      </c>
      <c r="J556" s="316"/>
      <c r="K556" s="317"/>
      <c r="L556" s="318"/>
      <c r="M556" s="468">
        <f>'Punten per wedstrijd'!E30*1.2</f>
        <v>113.52000000000017</v>
      </c>
      <c r="N556" s="468">
        <f>'Punten per wedstrijd'!E18</f>
        <v>44</v>
      </c>
      <c r="O556" s="313" t="s">
        <v>4555</v>
      </c>
      <c r="P556" s="320"/>
      <c r="Q556" s="324" t="s">
        <v>3917</v>
      </c>
      <c r="R556" s="317"/>
      <c r="S556" s="317"/>
      <c r="T556" s="317"/>
      <c r="U556" s="468">
        <f>'Punten per wedstrijd'!F122*1.2</f>
        <v>522.47999999999979</v>
      </c>
      <c r="V556" s="468">
        <f>'Punten per wedstrijd'!F188</f>
        <v>683.19999999999936</v>
      </c>
      <c r="W556" s="313" t="s">
        <v>4556</v>
      </c>
      <c r="Y556" s="28"/>
      <c r="Z556" s="28"/>
    </row>
    <row r="557" spans="1:26" ht="15.75">
      <c r="A557" s="324" t="s">
        <v>2221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4556</v>
      </c>
      <c r="H557" s="320"/>
      <c r="I557" s="324" t="s">
        <v>2219</v>
      </c>
      <c r="J557" s="316"/>
      <c r="K557" s="317"/>
      <c r="L557" s="318"/>
      <c r="M557" s="468">
        <f>'Punten per wedstrijd'!E61*1.2</f>
        <v>154.92000000000002</v>
      </c>
      <c r="N557" s="468">
        <f>'Punten per wedstrijd'!E86</f>
        <v>195.50000000000011</v>
      </c>
      <c r="O557" s="313" t="s">
        <v>4556</v>
      </c>
      <c r="P557" s="320"/>
      <c r="Q557" s="324" t="s">
        <v>3918</v>
      </c>
      <c r="R557" s="317"/>
      <c r="S557" s="317"/>
      <c r="T557" s="317"/>
      <c r="U557" s="468">
        <f>'Punten per wedstrijd'!F130*1.2</f>
        <v>512.88000000000011</v>
      </c>
      <c r="V557" s="468">
        <f>'Punten per wedstrijd'!F165</f>
        <v>795.2</v>
      </c>
      <c r="W557" s="313" t="s">
        <v>4556</v>
      </c>
      <c r="Y557" s="28"/>
      <c r="Z557" s="28"/>
    </row>
    <row r="558" spans="1:26" ht="15.75">
      <c r="A558" s="324" t="s">
        <v>3651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4556</v>
      </c>
      <c r="H558" s="320"/>
      <c r="I558" s="324" t="s">
        <v>3914</v>
      </c>
      <c r="J558" s="316"/>
      <c r="K558" s="317"/>
      <c r="L558" s="318"/>
      <c r="M558" s="468">
        <f>'Punten per wedstrijd'!E67*1.2</f>
        <v>129.83999999999992</v>
      </c>
      <c r="N558" s="468">
        <f>'Punten per wedstrijd'!E44</f>
        <v>38.800000000000068</v>
      </c>
      <c r="O558" s="313" t="s">
        <v>4555</v>
      </c>
      <c r="P558" s="320"/>
      <c r="Q558" s="324" t="s">
        <v>3919</v>
      </c>
      <c r="R558" s="317"/>
      <c r="S558" s="317"/>
      <c r="T558" s="317"/>
      <c r="U558" s="468">
        <f>'Punten per wedstrijd'!F135*1.2</f>
        <v>768.84000000000026</v>
      </c>
      <c r="V558" s="468">
        <f>'Punten per wedstrijd'!F134</f>
        <v>414.19999999999959</v>
      </c>
      <c r="W558" s="313" t="s">
        <v>4555</v>
      </c>
      <c r="Y558" s="28"/>
      <c r="Z558" s="28"/>
    </row>
    <row r="559" spans="1:26" ht="15.75">
      <c r="A559" s="324" t="s">
        <v>3652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4555</v>
      </c>
      <c r="H559" s="320"/>
      <c r="I559" s="324" t="s">
        <v>3915</v>
      </c>
      <c r="J559" s="316"/>
      <c r="K559" s="317"/>
      <c r="L559" s="318"/>
      <c r="M559" s="468">
        <f>'Punten per wedstrijd'!E82*1.2</f>
        <v>175.32000000000002</v>
      </c>
      <c r="N559" s="468">
        <f>'Punten per wedstrijd'!E31</f>
        <v>115.09999999999991</v>
      </c>
      <c r="O559" s="313" t="s">
        <v>4555</v>
      </c>
      <c r="P559" s="320"/>
      <c r="Q559" s="324" t="s">
        <v>3920</v>
      </c>
      <c r="R559" s="317"/>
      <c r="S559" s="317"/>
      <c r="T559" s="317"/>
      <c r="U559" s="468">
        <f>'Punten per wedstrijd'!F186*1.2</f>
        <v>608.15999999999963</v>
      </c>
      <c r="V559" s="468">
        <f>'Punten per wedstrijd'!F171</f>
        <v>488.70000000000073</v>
      </c>
      <c r="W559" s="313" t="s">
        <v>4557</v>
      </c>
      <c r="Y559" s="28"/>
      <c r="Z559" s="28"/>
    </row>
    <row r="560" spans="1:26" ht="15.75">
      <c r="A560" s="324" t="s">
        <v>3653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4557</v>
      </c>
      <c r="H560" s="320"/>
      <c r="I560" s="324" t="s">
        <v>3916</v>
      </c>
      <c r="J560" s="316"/>
      <c r="K560" s="317"/>
      <c r="L560" s="318"/>
      <c r="M560" s="468">
        <f>'Punten per wedstrijd'!E84*1.2</f>
        <v>93.720000000000155</v>
      </c>
      <c r="N560" s="468">
        <f>'Punten per wedstrijd'!E26</f>
        <v>41.600000000000023</v>
      </c>
      <c r="O560" s="313" t="s">
        <v>4555</v>
      </c>
      <c r="P560" s="320"/>
      <c r="Q560" s="324" t="s">
        <v>3921</v>
      </c>
      <c r="R560" s="317"/>
      <c r="S560" s="317"/>
      <c r="T560" s="317"/>
      <c r="U560" s="468">
        <f>'Punten per wedstrijd'!F190*1.2</f>
        <v>907.44000000000062</v>
      </c>
      <c r="V560" s="468">
        <f>'Punten per wedstrijd'!F148</f>
        <v>611.80000000000018</v>
      </c>
      <c r="W560" s="313" t="s">
        <v>4555</v>
      </c>
      <c r="Y560" s="28"/>
      <c r="Z560" s="28"/>
    </row>
    <row r="561" spans="1:26" ht="15.75">
      <c r="A561" s="323"/>
      <c r="B561" s="320"/>
      <c r="C561" s="320"/>
      <c r="D561" s="316"/>
      <c r="E561" s="468"/>
      <c r="F561" s="468"/>
      <c r="G561" s="313"/>
      <c r="H561" s="320"/>
      <c r="I561" s="320"/>
      <c r="J561" s="316"/>
      <c r="K561" s="317"/>
      <c r="L561" s="318"/>
      <c r="M561" s="500"/>
      <c r="N561" s="500"/>
      <c r="O561" s="314"/>
      <c r="P561" s="320"/>
      <c r="Q561" s="316"/>
      <c r="R561" s="317"/>
      <c r="S561" s="317"/>
      <c r="T561" s="317"/>
      <c r="U561" s="500"/>
      <c r="V561" s="500"/>
      <c r="W561" s="314"/>
      <c r="Y561" s="28"/>
      <c r="Z561" s="28"/>
    </row>
    <row r="562" spans="1:26" s="39" customFormat="1" ht="15.75">
      <c r="A562" s="319" t="s">
        <v>2210</v>
      </c>
      <c r="B562" s="444"/>
      <c r="C562" s="444"/>
      <c r="D562" s="445"/>
      <c r="E562" s="468"/>
      <c r="F562" s="468"/>
      <c r="G562" s="447" t="s">
        <v>150</v>
      </c>
      <c r="H562" s="444"/>
      <c r="I562" s="319" t="s">
        <v>186</v>
      </c>
      <c r="J562" s="445"/>
      <c r="K562" s="444"/>
      <c r="L562" s="318"/>
      <c r="M562" s="500"/>
      <c r="N562" s="500"/>
      <c r="O562" s="447" t="s">
        <v>150</v>
      </c>
      <c r="P562" s="444"/>
      <c r="Q562" s="319" t="s">
        <v>175</v>
      </c>
      <c r="R562" s="444"/>
      <c r="S562" s="444"/>
      <c r="T562" s="444"/>
      <c r="U562" s="500"/>
      <c r="V562" s="500"/>
      <c r="W562" s="447" t="s">
        <v>150</v>
      </c>
    </row>
    <row r="563" spans="1:26" ht="15.75">
      <c r="A563" s="324" t="s">
        <v>3922</v>
      </c>
      <c r="B563" s="320"/>
      <c r="C563" s="320"/>
      <c r="D563" s="316"/>
      <c r="E563" s="468">
        <f>'Punten per wedstrijd'!F30*1.2</f>
        <v>282.60000000000025</v>
      </c>
      <c r="F563" s="468">
        <f>'Punten per wedstrijd'!F82</f>
        <v>235.49999999999955</v>
      </c>
      <c r="G563" s="313" t="s">
        <v>4557</v>
      </c>
      <c r="H563" s="320"/>
      <c r="I563" s="324" t="s">
        <v>3927</v>
      </c>
      <c r="J563" s="316"/>
      <c r="K563" s="317"/>
      <c r="L563" s="318"/>
      <c r="M563" s="468">
        <f>'Punten per wedstrijd'!G18*1.2</f>
        <v>244.19999999999945</v>
      </c>
      <c r="N563" s="468">
        <f>'Punten per wedstrijd'!G44</f>
        <v>286.50000000000045</v>
      </c>
      <c r="O563" s="313" t="s">
        <v>4554</v>
      </c>
      <c r="P563" s="320"/>
      <c r="Q563" s="324" t="s">
        <v>3932</v>
      </c>
      <c r="R563" s="317"/>
      <c r="S563" s="317"/>
      <c r="T563" s="317"/>
      <c r="U563" s="468">
        <f>'Punten per wedstrijd'!G148*1.2</f>
        <v>966.00000000000102</v>
      </c>
      <c r="V563" s="468">
        <f>'Punten per wedstrijd'!G135</f>
        <v>619.10000000000036</v>
      </c>
      <c r="W563" s="313" t="s">
        <v>4555</v>
      </c>
      <c r="Y563" s="28"/>
      <c r="Z563" s="28"/>
    </row>
    <row r="564" spans="1:26" ht="15.75">
      <c r="A564" s="324" t="s">
        <v>3923</v>
      </c>
      <c r="B564" s="320"/>
      <c r="C564" s="320"/>
      <c r="D564" s="316"/>
      <c r="E564" s="468">
        <f>'Punten per wedstrijd'!F44*1.2</f>
        <v>263.63999999999947</v>
      </c>
      <c r="F564" s="468">
        <f>'Punten per wedstrijd'!F26</f>
        <v>285.99999999999977</v>
      </c>
      <c r="G564" s="313" t="s">
        <v>4554</v>
      </c>
      <c r="H564" s="320"/>
      <c r="I564" s="324" t="s">
        <v>3928</v>
      </c>
      <c r="J564" s="316"/>
      <c r="K564" s="317"/>
      <c r="L564" s="318"/>
      <c r="M564" s="468">
        <f>'Punten per wedstrijd'!G26*1.2</f>
        <v>432</v>
      </c>
      <c r="N564" s="468">
        <f>'Punten per wedstrijd'!G86</f>
        <v>306.90000000000055</v>
      </c>
      <c r="O564" s="313" t="s">
        <v>4555</v>
      </c>
      <c r="P564" s="320"/>
      <c r="Q564" s="324" t="s">
        <v>2217</v>
      </c>
      <c r="R564" s="317"/>
      <c r="S564" s="317"/>
      <c r="T564" s="317"/>
      <c r="U564" s="468">
        <f>'Punten per wedstrijd'!G165*1.2</f>
        <v>957.96000000000129</v>
      </c>
      <c r="V564" s="468">
        <f>'Punten per wedstrijd'!G186</f>
        <v>548.59999999999945</v>
      </c>
      <c r="W564" s="313" t="s">
        <v>4555</v>
      </c>
      <c r="Y564" s="28"/>
      <c r="Z564" s="28"/>
    </row>
    <row r="565" spans="1:26" ht="15.75">
      <c r="A565" s="324" t="s">
        <v>3924</v>
      </c>
      <c r="B565" s="320"/>
      <c r="C565" s="320"/>
      <c r="D565" s="316"/>
      <c r="E565" s="468">
        <f>'Punten per wedstrijd'!F61*1.2</f>
        <v>297.95999999999941</v>
      </c>
      <c r="F565" s="468">
        <f>'Punten per wedstrijd'!F18</f>
        <v>262.20000000000027</v>
      </c>
      <c r="G565" s="313" t="s">
        <v>4557</v>
      </c>
      <c r="H565" s="320"/>
      <c r="I565" s="324" t="s">
        <v>3929</v>
      </c>
      <c r="J565" s="316"/>
      <c r="K565" s="317"/>
      <c r="L565" s="318"/>
      <c r="M565" s="468">
        <f>'Punten per wedstrijd'!G30*1.2</f>
        <v>606.6</v>
      </c>
      <c r="N565" s="468">
        <f>'Punten per wedstrijd'!G67</f>
        <v>169.20000000000073</v>
      </c>
      <c r="O565" s="313" t="s">
        <v>4555</v>
      </c>
      <c r="P565" s="320"/>
      <c r="Q565" s="324" t="s">
        <v>3933</v>
      </c>
      <c r="R565" s="317"/>
      <c r="S565" s="317"/>
      <c r="T565" s="317"/>
      <c r="U565" s="468">
        <f>'Punten per wedstrijd'!G171*1.2</f>
        <v>1387.6800000000012</v>
      </c>
      <c r="V565" s="468">
        <f>'Punten per wedstrijd'!G130</f>
        <v>910.70000000000118</v>
      </c>
      <c r="W565" s="313" t="s">
        <v>4555</v>
      </c>
      <c r="Y565" s="28"/>
      <c r="Z565" s="28"/>
    </row>
    <row r="566" spans="1:26" ht="15.75">
      <c r="A566" s="324" t="s">
        <v>3925</v>
      </c>
      <c r="B566" s="320"/>
      <c r="C566" s="320"/>
      <c r="D566" s="316"/>
      <c r="E566" s="468">
        <f>'Punten per wedstrijd'!F67*1.2</f>
        <v>358.8</v>
      </c>
      <c r="F566" s="468">
        <f>'Punten per wedstrijd'!F86</f>
        <v>183.99999999999955</v>
      </c>
      <c r="G566" s="313" t="s">
        <v>4555</v>
      </c>
      <c r="H566" s="320"/>
      <c r="I566" s="324" t="s">
        <v>3930</v>
      </c>
      <c r="J566" s="316"/>
      <c r="K566" s="317"/>
      <c r="L566" s="318"/>
      <c r="M566" s="468">
        <f>'Punten per wedstrijd'!G31*1.2</f>
        <v>472.68000000000006</v>
      </c>
      <c r="N566" s="468">
        <f>'Punten per wedstrijd'!G61</f>
        <v>256.20000000000027</v>
      </c>
      <c r="O566" s="313" t="s">
        <v>4555</v>
      </c>
      <c r="P566" s="320"/>
      <c r="Q566" s="324" t="s">
        <v>3934</v>
      </c>
      <c r="R566" s="317"/>
      <c r="S566" s="317"/>
      <c r="T566" s="317"/>
      <c r="U566" s="468">
        <f>'Punten per wedstrijd'!G188*1.2</f>
        <v>1115.7599999999991</v>
      </c>
      <c r="V566" s="468">
        <f>'Punten per wedstrijd'!G134</f>
        <v>671.29999999999973</v>
      </c>
      <c r="W566" s="313" t="s">
        <v>4555</v>
      </c>
      <c r="Y566" s="28"/>
      <c r="Z566" s="28"/>
    </row>
    <row r="567" spans="1:26" ht="15.75">
      <c r="A567" s="324" t="s">
        <v>3926</v>
      </c>
      <c r="B567" s="320"/>
      <c r="C567" s="320"/>
      <c r="D567" s="316"/>
      <c r="E567" s="468">
        <f>'Punten per wedstrijd'!F84*1.2</f>
        <v>341.75999999999993</v>
      </c>
      <c r="F567" s="468">
        <f>'Punten per wedstrijd'!F31</f>
        <v>121.50000000000045</v>
      </c>
      <c r="G567" s="313" t="s">
        <v>4555</v>
      </c>
      <c r="H567" s="320"/>
      <c r="I567" s="324" t="s">
        <v>3931</v>
      </c>
      <c r="J567" s="316"/>
      <c r="K567" s="317"/>
      <c r="L567" s="318"/>
      <c r="M567" s="468">
        <f>'Punten per wedstrijd'!G82*1.2</f>
        <v>269.39999999999947</v>
      </c>
      <c r="N567" s="468">
        <f>'Punten per wedstrijd'!G84</f>
        <v>165.89999999999918</v>
      </c>
      <c r="O567" s="313" t="s">
        <v>4555</v>
      </c>
      <c r="P567" s="320"/>
      <c r="Q567" s="324" t="s">
        <v>3935</v>
      </c>
      <c r="R567" s="317"/>
      <c r="S567" s="317"/>
      <c r="T567" s="317"/>
      <c r="U567" s="468">
        <f>'Punten per wedstrijd'!G190*1.2</f>
        <v>874.08</v>
      </c>
      <c r="V567" s="468">
        <f>'Punten per wedstrijd'!G122</f>
        <v>293.79999999999973</v>
      </c>
      <c r="W567" s="313" t="s">
        <v>4555</v>
      </c>
      <c r="Y567" s="28"/>
      <c r="Z567" s="28"/>
    </row>
    <row r="568" spans="1:26" ht="15.75">
      <c r="A568" s="323"/>
      <c r="B568" s="320"/>
      <c r="C568" s="320"/>
      <c r="D568" s="316"/>
      <c r="E568" s="468"/>
      <c r="F568" s="468"/>
      <c r="G568" s="311"/>
      <c r="H568" s="320"/>
      <c r="I568" s="316"/>
      <c r="J568" s="316"/>
      <c r="K568" s="317"/>
      <c r="L568" s="318"/>
      <c r="M568" s="500"/>
      <c r="N568" s="500"/>
      <c r="O568" s="314"/>
      <c r="P568" s="320"/>
      <c r="Q568" s="317"/>
      <c r="R568" s="317"/>
      <c r="S568" s="317"/>
      <c r="T568" s="317"/>
      <c r="U568" s="500"/>
      <c r="V568" s="500"/>
      <c r="W568" s="314"/>
      <c r="Y568" s="28"/>
      <c r="Z568" s="28"/>
    </row>
    <row r="569" spans="1:26" s="39" customFormat="1" ht="15.75">
      <c r="A569" s="319" t="s">
        <v>187</v>
      </c>
      <c r="B569" s="444"/>
      <c r="C569" s="444"/>
      <c r="D569" s="445"/>
      <c r="E569" s="468"/>
      <c r="F569" s="468"/>
      <c r="G569" s="447" t="s">
        <v>150</v>
      </c>
      <c r="H569" s="444"/>
      <c r="I569" s="319" t="s">
        <v>188</v>
      </c>
      <c r="J569" s="445"/>
      <c r="K569" s="444"/>
      <c r="L569" s="318"/>
      <c r="M569" s="500"/>
      <c r="N569" s="500"/>
      <c r="O569" s="447" t="s">
        <v>150</v>
      </c>
      <c r="P569" s="444"/>
      <c r="Q569" s="319" t="s">
        <v>2211</v>
      </c>
      <c r="R569" s="444"/>
      <c r="S569" s="444"/>
      <c r="T569" s="444"/>
      <c r="U569" s="500"/>
      <c r="V569" s="500"/>
      <c r="W569" s="447" t="s">
        <v>150</v>
      </c>
    </row>
    <row r="570" spans="1:26" ht="15.75">
      <c r="A570" s="324" t="s">
        <v>3936</v>
      </c>
      <c r="B570" s="320"/>
      <c r="C570" s="320"/>
      <c r="D570" s="316"/>
      <c r="E570" s="468">
        <f>'Punten per wedstrijd'!H122*1.2</f>
        <v>504.83999999999867</v>
      </c>
      <c r="F570" s="468">
        <f>'Punten per wedstrijd'!H130</f>
        <v>439.50000000000045</v>
      </c>
      <c r="G570" s="313" t="s">
        <v>4557</v>
      </c>
      <c r="H570" s="320"/>
      <c r="I570" s="324" t="s">
        <v>3941</v>
      </c>
      <c r="J570" s="316"/>
      <c r="K570" s="317"/>
      <c r="L570" s="318"/>
      <c r="M570" s="468">
        <f>'Punten per wedstrijd'!H18*1.2</f>
        <v>118.07999999999902</v>
      </c>
      <c r="N570" s="468">
        <f>'Punten per wedstrijd'!H67</f>
        <v>515.050000000002</v>
      </c>
      <c r="O570" s="313" t="s">
        <v>4556</v>
      </c>
      <c r="P570" s="320"/>
      <c r="Q570" s="324" t="s">
        <v>3945</v>
      </c>
      <c r="R570" s="317"/>
      <c r="S570" s="317"/>
      <c r="T570" s="317"/>
      <c r="U570" s="468">
        <f>'Punten per wedstrijd'!I134*1.2</f>
        <v>1288.7999999999977</v>
      </c>
      <c r="V570" s="468">
        <f>'Punten per wedstrijd'!I190</f>
        <v>950.50000000000182</v>
      </c>
      <c r="W570" s="313" t="s">
        <v>4555</v>
      </c>
      <c r="Y570" s="28"/>
      <c r="Z570" s="28"/>
    </row>
    <row r="571" spans="1:26" ht="15.75">
      <c r="A571" s="324" t="s">
        <v>3937</v>
      </c>
      <c r="B571" s="320"/>
      <c r="C571" s="320"/>
      <c r="D571" s="316"/>
      <c r="E571" s="468">
        <f>'Punten per wedstrijd'!H134*1.2</f>
        <v>643.3199999999988</v>
      </c>
      <c r="F571" s="468">
        <f>'Punten per wedstrijd'!H165</f>
        <v>396.70000000000073</v>
      </c>
      <c r="G571" s="313" t="s">
        <v>4555</v>
      </c>
      <c r="H571" s="320"/>
      <c r="I571" s="324" t="s">
        <v>3942</v>
      </c>
      <c r="J571" s="316"/>
      <c r="K571" s="317"/>
      <c r="L571" s="318"/>
      <c r="M571" s="468">
        <f>'Punten per wedstrijd'!H26*1.2</f>
        <v>669.12000000000046</v>
      </c>
      <c r="N571" s="468">
        <f>'Punten per wedstrijd'!H31</f>
        <v>454.99999999999909</v>
      </c>
      <c r="O571" s="313" t="s">
        <v>4555</v>
      </c>
      <c r="P571" s="320"/>
      <c r="Q571" s="324" t="s">
        <v>3946</v>
      </c>
      <c r="R571" s="317"/>
      <c r="S571" s="317"/>
      <c r="T571" s="317"/>
      <c r="U571" s="468">
        <f>'Punten per wedstrijd'!I135*1.2</f>
        <v>882.35999999999694</v>
      </c>
      <c r="V571" s="468">
        <f>'Punten per wedstrijd'!I122</f>
        <v>464.79999999999973</v>
      </c>
      <c r="W571" s="313" t="s">
        <v>4555</v>
      </c>
      <c r="Y571" s="28"/>
      <c r="Z571" s="28"/>
    </row>
    <row r="572" spans="1:26" ht="15.75">
      <c r="A572" s="324" t="s">
        <v>3938</v>
      </c>
      <c r="B572" s="320"/>
      <c r="C572" s="320"/>
      <c r="D572" s="316"/>
      <c r="E572" s="468">
        <f>'Punten per wedstrijd'!H135*1.2</f>
        <v>573.71999999999991</v>
      </c>
      <c r="F572" s="468">
        <f>'Punten per wedstrijd'!H190</f>
        <v>763.39999999999964</v>
      </c>
      <c r="G572" s="313" t="s">
        <v>4556</v>
      </c>
      <c r="H572" s="320"/>
      <c r="I572" s="324" t="s">
        <v>3943</v>
      </c>
      <c r="J572" s="316"/>
      <c r="K572" s="317"/>
      <c r="L572" s="318"/>
      <c r="M572" s="468">
        <f>'Punten per wedstrijd'!H44*1.2</f>
        <v>774.18000000000063</v>
      </c>
      <c r="N572" s="468">
        <f>'Punten per wedstrijd'!H30</f>
        <v>473.79999999999927</v>
      </c>
      <c r="O572" s="313" t="s">
        <v>4555</v>
      </c>
      <c r="P572" s="320"/>
      <c r="Q572" s="324" t="s">
        <v>3947</v>
      </c>
      <c r="R572" s="317"/>
      <c r="S572" s="317"/>
      <c r="U572" s="468">
        <f>'Punten per wedstrijd'!I171*1.2</f>
        <v>1066.8000000000022</v>
      </c>
      <c r="V572" s="468">
        <f>'Punten per wedstrijd'!I165</f>
        <v>443.80000000000018</v>
      </c>
      <c r="W572" s="313" t="s">
        <v>4555</v>
      </c>
      <c r="Y572" s="28"/>
      <c r="Z572" s="28"/>
    </row>
    <row r="573" spans="1:26" ht="15.75">
      <c r="A573" s="324" t="s">
        <v>3939</v>
      </c>
      <c r="B573" s="320"/>
      <c r="C573" s="320"/>
      <c r="D573" s="316"/>
      <c r="E573" s="468">
        <f>'Punten per wedstrijd'!H186*1.2</f>
        <v>604.19999999999948</v>
      </c>
      <c r="F573" s="468">
        <f>'Punten per wedstrijd'!H148</f>
        <v>791.45000000000027</v>
      </c>
      <c r="G573" s="313" t="s">
        <v>4556</v>
      </c>
      <c r="H573" s="320"/>
      <c r="I573" s="324" t="s">
        <v>3944</v>
      </c>
      <c r="J573" s="316"/>
      <c r="K573" s="317"/>
      <c r="L573" s="318"/>
      <c r="M573" s="468">
        <f>'Punten per wedstrijd'!H61*1.2</f>
        <v>338.40000000000106</v>
      </c>
      <c r="N573" s="468">
        <f>'Punten per wedstrijd'!H84</f>
        <v>341.60000000000036</v>
      </c>
      <c r="O573" s="313" t="s">
        <v>4554</v>
      </c>
      <c r="P573" s="320"/>
      <c r="Q573" s="324" t="s">
        <v>3948</v>
      </c>
      <c r="R573" s="317"/>
      <c r="S573" s="317"/>
      <c r="T573" s="317"/>
      <c r="U573" s="468">
        <f>'Punten per wedstrijd'!I186*1.2</f>
        <v>985.19999999999891</v>
      </c>
      <c r="V573" s="468">
        <f>'Punten per wedstrijd'!I130</f>
        <v>724.20000000000164</v>
      </c>
      <c r="W573" s="313" t="s">
        <v>4555</v>
      </c>
      <c r="Y573" s="28"/>
      <c r="Z573" s="28"/>
    </row>
    <row r="574" spans="1:26" ht="15.75">
      <c r="A574" s="324" t="s">
        <v>3940</v>
      </c>
      <c r="B574" s="320"/>
      <c r="C574" s="320"/>
      <c r="D574" s="316"/>
      <c r="E574" s="468">
        <f>'Punten per wedstrijd'!H188*1.2</f>
        <v>1226.7600000000002</v>
      </c>
      <c r="F574" s="468">
        <f>'Punten per wedstrijd'!H171</f>
        <v>779.30000000000155</v>
      </c>
      <c r="G574" s="313" t="s">
        <v>4555</v>
      </c>
      <c r="H574" s="316"/>
      <c r="I574" s="324" t="s">
        <v>2214</v>
      </c>
      <c r="J574" s="316"/>
      <c r="K574" s="317"/>
      <c r="L574" s="318"/>
      <c r="M574" s="468">
        <f>'Punten per wedstrijd'!H86*1.2</f>
        <v>767.0400000000019</v>
      </c>
      <c r="N574" s="468">
        <f>'Punten per wedstrijd'!H82</f>
        <v>598.099999999999</v>
      </c>
      <c r="O574" s="313" t="s">
        <v>4555</v>
      </c>
      <c r="P574" s="317"/>
      <c r="Q574" s="324" t="s">
        <v>3949</v>
      </c>
      <c r="R574" s="317"/>
      <c r="S574" s="317"/>
      <c r="T574" s="317"/>
      <c r="U574" s="468">
        <f>'Punten per wedstrijd'!I188*1.2</f>
        <v>1305.6000000000022</v>
      </c>
      <c r="V574" s="468">
        <f>'Punten per wedstrijd'!I148</f>
        <v>906.60000000000036</v>
      </c>
      <c r="W574" s="313" t="s">
        <v>4555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8"/>
      <c r="F575" s="468"/>
      <c r="G575" s="311"/>
      <c r="H575" s="316"/>
      <c r="I575" s="315"/>
      <c r="J575" s="316"/>
      <c r="K575" s="317"/>
      <c r="L575" s="318"/>
      <c r="M575" s="500"/>
      <c r="N575" s="500"/>
      <c r="O575" s="314"/>
      <c r="P575" s="317"/>
      <c r="Q575" s="315"/>
      <c r="R575" s="317"/>
      <c r="S575" s="317"/>
      <c r="T575" s="317"/>
      <c r="U575" s="500"/>
      <c r="V575" s="500"/>
      <c r="W575" s="314"/>
      <c r="X575" s="28"/>
      <c r="Y575" s="28"/>
      <c r="Z575" s="28"/>
    </row>
    <row r="576" spans="1:26" s="39" customFormat="1" ht="15.75">
      <c r="A576" s="319" t="s">
        <v>2212</v>
      </c>
      <c r="B576" s="444"/>
      <c r="C576" s="444"/>
      <c r="D576" s="445"/>
      <c r="E576" s="468"/>
      <c r="F576" s="468"/>
      <c r="G576" s="447" t="s">
        <v>150</v>
      </c>
      <c r="H576" s="444"/>
      <c r="I576" s="319" t="s">
        <v>3536</v>
      </c>
      <c r="J576" s="445"/>
      <c r="K576" s="444"/>
      <c r="L576" s="318"/>
      <c r="M576" s="500"/>
      <c r="N576" s="500"/>
      <c r="O576" s="447" t="s">
        <v>150</v>
      </c>
      <c r="P576" s="444"/>
      <c r="Q576" s="319" t="s">
        <v>3537</v>
      </c>
      <c r="R576" s="444"/>
      <c r="S576" s="444"/>
      <c r="T576" s="444"/>
      <c r="U576" s="500"/>
      <c r="V576" s="500"/>
      <c r="W576" s="447" t="s">
        <v>150</v>
      </c>
    </row>
    <row r="577" spans="1:26" ht="15.75">
      <c r="A577" s="324" t="s">
        <v>4433</v>
      </c>
      <c r="B577" s="320"/>
      <c r="C577" s="320"/>
      <c r="D577" s="316"/>
      <c r="E577" s="468">
        <f>'Punten per wedstrijd'!I82*1.2</f>
        <v>341.4</v>
      </c>
      <c r="F577" s="468">
        <f>'Punten per wedstrijd'!I18</f>
        <v>82.8</v>
      </c>
      <c r="G577" s="313" t="s">
        <v>4555</v>
      </c>
      <c r="H577" s="320"/>
      <c r="I577" s="324" t="s">
        <v>5054</v>
      </c>
      <c r="J577" s="316"/>
      <c r="K577" s="317"/>
      <c r="L577" s="318"/>
      <c r="M577" s="468">
        <f>'Punten per wedstrijd'!J18*1.2</f>
        <v>112.92</v>
      </c>
      <c r="N577" s="468">
        <f>'Punten per wedstrijd'!J30</f>
        <v>428.6</v>
      </c>
      <c r="O577" s="313" t="s">
        <v>4556</v>
      </c>
      <c r="P577" s="320"/>
      <c r="Q577" s="324" t="s">
        <v>4434</v>
      </c>
      <c r="R577" s="317"/>
      <c r="S577" s="317"/>
      <c r="T577" s="317"/>
      <c r="U577" s="468">
        <f>'Punten per wedstrijd'!K84*1.2</f>
        <v>225</v>
      </c>
      <c r="V577" s="468">
        <f>'Punten per wedstrijd'!K18</f>
        <v>57.6</v>
      </c>
      <c r="W577" s="313" t="s">
        <v>4555</v>
      </c>
      <c r="X577" s="28"/>
      <c r="Y577" s="28"/>
      <c r="Z577" s="28"/>
    </row>
    <row r="578" spans="1:26" ht="15.75">
      <c r="A578" s="324" t="s">
        <v>2224</v>
      </c>
      <c r="B578" s="320"/>
      <c r="C578" s="320"/>
      <c r="D578" s="316"/>
      <c r="E578" s="468">
        <f>'Punten per wedstrijd'!I30*1.2</f>
        <v>275.39999999999998</v>
      </c>
      <c r="F578" s="468">
        <f>'Punten per wedstrijd'!I26</f>
        <v>237.5</v>
      </c>
      <c r="G578" s="313" t="s">
        <v>4557</v>
      </c>
      <c r="H578" s="320"/>
      <c r="I578" s="324" t="s">
        <v>2215</v>
      </c>
      <c r="J578" s="316"/>
      <c r="K578" s="317"/>
      <c r="L578" s="318"/>
      <c r="M578" s="468">
        <f>'Punten per wedstrijd'!J86*1.2</f>
        <v>612.24</v>
      </c>
      <c r="N578" s="468">
        <f>'Punten per wedstrijd'!J61</f>
        <v>274.89999999999998</v>
      </c>
      <c r="O578" s="313" t="s">
        <v>4555</v>
      </c>
      <c r="P578" s="320"/>
      <c r="Q578" s="324" t="s">
        <v>4435</v>
      </c>
      <c r="R578" s="317"/>
      <c r="S578" s="317"/>
      <c r="T578" s="317"/>
      <c r="U578" s="468">
        <f>'Punten per wedstrijd'!K61*1.2</f>
        <v>262.08</v>
      </c>
      <c r="V578" s="468">
        <f>'Punten per wedstrijd'!K26</f>
        <v>273.3</v>
      </c>
      <c r="W578" s="313" t="s">
        <v>4554</v>
      </c>
      <c r="X578" s="28"/>
      <c r="Y578" s="28"/>
      <c r="Z578" s="28"/>
    </row>
    <row r="579" spans="1:26" ht="15.75">
      <c r="A579" s="324" t="s">
        <v>4436</v>
      </c>
      <c r="B579" s="320"/>
      <c r="C579" s="320"/>
      <c r="D579" s="316"/>
      <c r="E579" s="468">
        <f>'Punten per wedstrijd'!I67*1.2</f>
        <v>491.03999999999996</v>
      </c>
      <c r="F579" s="468">
        <f>'Punten per wedstrijd'!I31</f>
        <v>246</v>
      </c>
      <c r="G579" s="313" t="s">
        <v>4555</v>
      </c>
      <c r="H579" s="320"/>
      <c r="I579" s="324" t="s">
        <v>5010</v>
      </c>
      <c r="J579" s="316"/>
      <c r="K579" s="317"/>
      <c r="L579" s="318"/>
      <c r="M579" s="468">
        <f>'Punten per wedstrijd'!J44*1.2</f>
        <v>620.75999999999988</v>
      </c>
      <c r="N579" s="468">
        <f>'Punten per wedstrijd'!J67</f>
        <v>545.75</v>
      </c>
      <c r="O579" s="313" t="s">
        <v>4557</v>
      </c>
      <c r="P579" s="320"/>
      <c r="Q579" s="324" t="s">
        <v>4437</v>
      </c>
      <c r="R579" s="317"/>
      <c r="S579" s="317"/>
      <c r="T579" s="317"/>
      <c r="U579" s="468">
        <f>'Punten per wedstrijd'!K30*1.2</f>
        <v>250.43999999999997</v>
      </c>
      <c r="V579" s="468">
        <f>'Punten per wedstrijd'!K31</f>
        <v>141.69999999999999</v>
      </c>
      <c r="W579" s="313" t="s">
        <v>4555</v>
      </c>
      <c r="X579" s="28"/>
      <c r="Y579" s="28"/>
      <c r="Z579" s="28"/>
    </row>
    <row r="580" spans="1:26" ht="15.75">
      <c r="A580" s="324" t="s">
        <v>4438</v>
      </c>
      <c r="B580" s="320"/>
      <c r="C580" s="320"/>
      <c r="D580" s="316"/>
      <c r="E580" s="468">
        <f>'Punten per wedstrijd'!I61*1.2</f>
        <v>333.59999999999997</v>
      </c>
      <c r="F580" s="468">
        <f>'Punten per wedstrijd'!I44</f>
        <v>140.80000000000001</v>
      </c>
      <c r="G580" s="313" t="s">
        <v>4555</v>
      </c>
      <c r="H580" s="320"/>
      <c r="I580" s="324" t="s">
        <v>4439</v>
      </c>
      <c r="J580" s="316"/>
      <c r="K580" s="317"/>
      <c r="L580" s="318"/>
      <c r="M580" s="468">
        <f>'Punten per wedstrijd'!J31*1.2</f>
        <v>484.79999999999995</v>
      </c>
      <c r="N580" s="468">
        <f>'Punten per wedstrijd'!J82</f>
        <v>483.5</v>
      </c>
      <c r="O580" s="313" t="s">
        <v>4557</v>
      </c>
      <c r="P580" s="320"/>
      <c r="Q580" s="324" t="s">
        <v>4440</v>
      </c>
      <c r="R580" s="317"/>
      <c r="S580" s="317"/>
      <c r="T580" s="317"/>
      <c r="U580" s="468">
        <f>'Punten per wedstrijd'!K67*1.2</f>
        <v>336</v>
      </c>
      <c r="V580" s="468">
        <f>'Punten per wedstrijd'!K82</f>
        <v>183.1</v>
      </c>
      <c r="W580" s="313" t="s">
        <v>4555</v>
      </c>
      <c r="X580" s="28"/>
      <c r="Y580" s="28"/>
      <c r="Z580" s="28"/>
    </row>
    <row r="581" spans="1:26" ht="15.75">
      <c r="A581" s="324" t="s">
        <v>4441</v>
      </c>
      <c r="B581" s="320"/>
      <c r="C581" s="320"/>
      <c r="D581" s="316"/>
      <c r="E581" s="468">
        <f>'Punten per wedstrijd'!I84*1.2</f>
        <v>502.56</v>
      </c>
      <c r="F581" s="468">
        <f>'Punten per wedstrijd'!I86</f>
        <v>329.5</v>
      </c>
      <c r="G581" s="313" t="s">
        <v>4555</v>
      </c>
      <c r="H581" s="320"/>
      <c r="I581" s="324" t="s">
        <v>4442</v>
      </c>
      <c r="J581" s="316"/>
      <c r="K581" s="317"/>
      <c r="L581" s="318"/>
      <c r="M581" s="468">
        <f>'Punten per wedstrijd'!J26*1.2</f>
        <v>672.24</v>
      </c>
      <c r="N581" s="468">
        <f>'Punten per wedstrijd'!J84</f>
        <v>271.89999999999998</v>
      </c>
      <c r="O581" s="313" t="s">
        <v>4555</v>
      </c>
      <c r="P581" s="320"/>
      <c r="Q581" s="324" t="s">
        <v>4443</v>
      </c>
      <c r="R581" s="317"/>
      <c r="S581" s="317"/>
      <c r="T581" s="317"/>
      <c r="U581" s="468">
        <f>'Punten per wedstrijd'!K44*1.2</f>
        <v>319.2</v>
      </c>
      <c r="V581" s="468">
        <f>'Punten per wedstrijd'!K86</f>
        <v>355.3</v>
      </c>
      <c r="W581" s="313" t="s">
        <v>4554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8"/>
      <c r="F582" s="468"/>
      <c r="G582" s="313"/>
      <c r="H582" s="320"/>
      <c r="I582" s="320"/>
      <c r="J582" s="316"/>
      <c r="K582" s="317"/>
      <c r="L582" s="318"/>
      <c r="M582" s="500"/>
      <c r="N582" s="500"/>
      <c r="O582" s="314"/>
      <c r="P582" s="320"/>
      <c r="Q582" s="316"/>
      <c r="R582" s="317"/>
      <c r="S582" s="317"/>
      <c r="T582" s="317"/>
      <c r="U582" s="500"/>
      <c r="V582" s="500"/>
      <c r="W582" s="314"/>
      <c r="X582" s="28"/>
      <c r="Y582" s="28"/>
      <c r="Z582" s="28"/>
    </row>
    <row r="583" spans="1:26" s="39" customFormat="1" ht="15.75">
      <c r="A583" s="319" t="s">
        <v>191</v>
      </c>
      <c r="B583" s="444"/>
      <c r="C583" s="444"/>
      <c r="D583" s="445"/>
      <c r="E583" s="468"/>
      <c r="F583" s="468"/>
      <c r="G583" s="447" t="s">
        <v>150</v>
      </c>
      <c r="H583" s="444"/>
      <c r="I583" s="319" t="s">
        <v>192</v>
      </c>
      <c r="J583" s="445"/>
      <c r="K583" s="444"/>
      <c r="L583" s="318"/>
      <c r="M583" s="500"/>
      <c r="N583" s="500"/>
      <c r="O583" s="447" t="s">
        <v>150</v>
      </c>
      <c r="P583" s="444"/>
      <c r="Q583" s="319" t="s">
        <v>195</v>
      </c>
      <c r="R583" s="444"/>
      <c r="S583" s="444"/>
      <c r="T583" s="444"/>
      <c r="U583" s="500"/>
      <c r="V583" s="500"/>
      <c r="W583" s="447" t="s">
        <v>150</v>
      </c>
    </row>
    <row r="584" spans="1:26" ht="15.75">
      <c r="A584" s="324" t="s">
        <v>4444</v>
      </c>
      <c r="B584" s="320"/>
      <c r="C584" s="320"/>
      <c r="D584" s="316"/>
      <c r="E584" s="468">
        <f>'Punten per wedstrijd'!L82*1.2</f>
        <v>184.08</v>
      </c>
      <c r="F584" s="468">
        <f>'Punten per wedstrijd'!L30</f>
        <v>221.6</v>
      </c>
      <c r="G584" s="313" t="s">
        <v>4554</v>
      </c>
      <c r="H584" s="320"/>
      <c r="I584" s="324" t="s">
        <v>4445</v>
      </c>
      <c r="J584" s="316"/>
      <c r="K584" s="317"/>
      <c r="L584" s="318"/>
      <c r="M584" s="468">
        <f>'Punten per wedstrijd'!M44*1.2</f>
        <v>733.61999999999932</v>
      </c>
      <c r="N584" s="468">
        <f>'Punten per wedstrijd'!M18</f>
        <v>175.29999999999973</v>
      </c>
      <c r="O584" s="313" t="s">
        <v>4555</v>
      </c>
      <c r="P584" s="320"/>
      <c r="Q584" s="324" t="s">
        <v>4446</v>
      </c>
      <c r="R584" s="317"/>
      <c r="S584" s="317"/>
      <c r="T584" s="317"/>
      <c r="U584" s="468"/>
      <c r="V584" s="468"/>
      <c r="W584" s="314"/>
      <c r="X584" s="28"/>
      <c r="Y584" s="28"/>
      <c r="Z584" s="28"/>
    </row>
    <row r="585" spans="1:26" ht="15.75">
      <c r="A585" s="324" t="s">
        <v>4447</v>
      </c>
      <c r="B585" s="320"/>
      <c r="C585" s="320"/>
      <c r="D585" s="316"/>
      <c r="E585" s="468">
        <f>'Punten per wedstrijd'!L26*1.2</f>
        <v>376.31999999999994</v>
      </c>
      <c r="F585" s="468">
        <f>'Punten per wedstrijd'!L44</f>
        <v>188.8</v>
      </c>
      <c r="G585" s="313" t="s">
        <v>4555</v>
      </c>
      <c r="H585" s="320"/>
      <c r="I585" s="324" t="s">
        <v>4448</v>
      </c>
      <c r="J585" s="316"/>
      <c r="K585" s="317"/>
      <c r="L585" s="318"/>
      <c r="M585" s="468">
        <f>'Punten per wedstrijd'!M86*1.2</f>
        <v>532.68000000000279</v>
      </c>
      <c r="N585" s="468">
        <f>'Punten per wedstrijd'!M26</f>
        <v>720.20000000000073</v>
      </c>
      <c r="O585" s="313" t="s">
        <v>4556</v>
      </c>
      <c r="P585" s="320"/>
      <c r="Q585" s="324" t="s">
        <v>2213</v>
      </c>
      <c r="R585" s="317"/>
      <c r="S585" s="317"/>
      <c r="T585" s="317"/>
      <c r="U585" s="468"/>
      <c r="V585" s="468"/>
      <c r="W585" s="314"/>
      <c r="X585" s="28"/>
      <c r="Y585" s="28"/>
      <c r="Z585" s="28"/>
    </row>
    <row r="586" spans="1:26" ht="15.75">
      <c r="A586" s="324" t="s">
        <v>4449</v>
      </c>
      <c r="B586" s="320"/>
      <c r="C586" s="320"/>
      <c r="D586" s="316"/>
      <c r="E586" s="468">
        <f>'Punten per wedstrijd'!L18*1.2</f>
        <v>161.76000000000002</v>
      </c>
      <c r="F586" s="468">
        <f>'Punten per wedstrijd'!L61</f>
        <v>153.5</v>
      </c>
      <c r="G586" s="313" t="s">
        <v>4557</v>
      </c>
      <c r="H586" s="320"/>
      <c r="I586" s="324" t="s">
        <v>4450</v>
      </c>
      <c r="J586" s="316"/>
      <c r="K586" s="317"/>
      <c r="L586" s="318"/>
      <c r="M586" s="468">
        <f>'Punten per wedstrijd'!M67*1.2</f>
        <v>667.44000000000085</v>
      </c>
      <c r="N586" s="468">
        <f>'Punten per wedstrijd'!M30</f>
        <v>503.49999999999909</v>
      </c>
      <c r="O586" s="313" t="s">
        <v>4555</v>
      </c>
      <c r="P586" s="320"/>
      <c r="Q586" s="324" t="s">
        <v>4451</v>
      </c>
      <c r="R586" s="317"/>
      <c r="S586" s="317"/>
      <c r="T586" s="317"/>
      <c r="U586" s="468"/>
      <c r="V586" s="468"/>
      <c r="W586" s="313"/>
      <c r="X586" s="28"/>
      <c r="Y586" s="28"/>
      <c r="Z586" s="28"/>
    </row>
    <row r="587" spans="1:26" ht="15.75">
      <c r="A587" s="324" t="s">
        <v>4452</v>
      </c>
      <c r="B587" s="320"/>
      <c r="C587" s="320"/>
      <c r="D587" s="316"/>
      <c r="E587" s="468">
        <f>'Punten per wedstrijd'!L86*1.2</f>
        <v>177.83999999999997</v>
      </c>
      <c r="F587" s="468">
        <f>'Punten per wedstrijd'!L67</f>
        <v>323.3</v>
      </c>
      <c r="G587" s="313" t="s">
        <v>4556</v>
      </c>
      <c r="H587" s="320"/>
      <c r="I587" s="324" t="s">
        <v>4453</v>
      </c>
      <c r="J587" s="316"/>
      <c r="K587" s="317"/>
      <c r="L587" s="318"/>
      <c r="M587" s="468">
        <f>'Punten per wedstrijd'!M61*1.2</f>
        <v>324.00000000000216</v>
      </c>
      <c r="N587" s="468">
        <f>'Punten per wedstrijd'!M31</f>
        <v>573.69999999999891</v>
      </c>
      <c r="O587" s="313" t="s">
        <v>4556</v>
      </c>
      <c r="P587" s="320"/>
      <c r="Q587" s="324" t="s">
        <v>4454</v>
      </c>
      <c r="R587" s="317"/>
      <c r="S587" s="317"/>
      <c r="T587" s="317"/>
      <c r="U587" s="468"/>
      <c r="V587" s="468"/>
      <c r="W587" s="313"/>
      <c r="X587" s="28"/>
      <c r="Y587" s="28"/>
      <c r="Z587" s="28"/>
    </row>
    <row r="588" spans="1:26" ht="15.75">
      <c r="A588" s="324" t="s">
        <v>4455</v>
      </c>
      <c r="B588" s="320"/>
      <c r="C588" s="320"/>
      <c r="D588" s="316"/>
      <c r="E588" s="468">
        <f>'Punten per wedstrijd'!L31*1.2</f>
        <v>312.95999999999998</v>
      </c>
      <c r="F588" s="468">
        <f>'Punten per wedstrijd'!L84</f>
        <v>229.8</v>
      </c>
      <c r="G588" s="313" t="s">
        <v>4555</v>
      </c>
      <c r="H588" s="320"/>
      <c r="I588" s="324" t="s">
        <v>4456</v>
      </c>
      <c r="J588" s="316"/>
      <c r="K588" s="317"/>
      <c r="L588" s="318"/>
      <c r="M588" s="468">
        <f>'Punten per wedstrijd'!M84*1.2</f>
        <v>309.60000000000326</v>
      </c>
      <c r="N588" s="468">
        <f>'Punten per wedstrijd'!M82</f>
        <v>471.49999999999818</v>
      </c>
      <c r="O588" s="313" t="s">
        <v>4556</v>
      </c>
      <c r="P588" s="320"/>
      <c r="Q588" s="324" t="s">
        <v>4457</v>
      </c>
      <c r="R588" s="317"/>
      <c r="S588" s="317"/>
      <c r="T588" s="317"/>
      <c r="U588" s="468"/>
      <c r="V588" s="468"/>
      <c r="W588" s="313"/>
      <c r="X588" s="28"/>
      <c r="Y588" s="28"/>
      <c r="Z588" s="28"/>
    </row>
    <row r="589" spans="1:26" ht="15.75">
      <c r="A589" s="323"/>
      <c r="B589" s="320"/>
      <c r="C589" s="320"/>
      <c r="D589" s="316"/>
      <c r="E589" s="468"/>
      <c r="F589" s="468"/>
      <c r="G589" s="311"/>
      <c r="H589" s="320"/>
      <c r="I589" s="316"/>
      <c r="J589" s="316"/>
      <c r="K589" s="317"/>
      <c r="L589" s="318"/>
      <c r="M589" s="500"/>
      <c r="N589" s="500"/>
      <c r="O589" s="314"/>
      <c r="P589" s="320"/>
      <c r="Q589" s="317"/>
      <c r="R589" s="317"/>
      <c r="S589" s="317"/>
      <c r="T589" s="317"/>
      <c r="U589" s="500"/>
      <c r="V589" s="500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8"/>
      <c r="F590" s="468"/>
      <c r="G590" s="312" t="s">
        <v>150</v>
      </c>
      <c r="H590" s="320"/>
      <c r="I590" s="319" t="s">
        <v>194</v>
      </c>
      <c r="J590" s="316"/>
      <c r="K590" s="317"/>
      <c r="L590" s="318"/>
      <c r="M590" s="500"/>
      <c r="N590" s="500"/>
      <c r="O590" s="312" t="s">
        <v>150</v>
      </c>
      <c r="P590" s="320"/>
      <c r="Q590" s="321" t="s">
        <v>176</v>
      </c>
      <c r="R590" s="317"/>
      <c r="S590" s="317"/>
      <c r="T590" s="317"/>
      <c r="U590" s="500"/>
      <c r="V590" s="500"/>
      <c r="W590" s="312" t="s">
        <v>150</v>
      </c>
      <c r="X590" s="28"/>
    </row>
    <row r="591" spans="1:26" ht="15.75">
      <c r="A591" s="324" t="s">
        <v>4458</v>
      </c>
      <c r="B591" s="320"/>
      <c r="C591" s="320"/>
      <c r="D591" s="316"/>
      <c r="E591" s="468"/>
      <c r="F591" s="468"/>
      <c r="G591" s="313"/>
      <c r="H591" s="320"/>
      <c r="I591" s="324" t="s">
        <v>4459</v>
      </c>
      <c r="J591" s="316"/>
      <c r="K591" s="317"/>
      <c r="L591" s="318"/>
      <c r="M591" s="468"/>
      <c r="N591" s="468"/>
      <c r="O591" s="314"/>
      <c r="P591" s="320"/>
      <c r="Q591" s="324" t="s">
        <v>4962</v>
      </c>
      <c r="R591" s="317"/>
      <c r="S591" s="317"/>
      <c r="T591" s="317"/>
      <c r="U591" s="468"/>
      <c r="V591" s="468"/>
      <c r="W591" s="314"/>
      <c r="X591" s="28"/>
      <c r="Y591" s="28"/>
      <c r="Z591" s="28"/>
    </row>
    <row r="592" spans="1:26" ht="15.75">
      <c r="A592" s="324" t="s">
        <v>4460</v>
      </c>
      <c r="B592" s="320"/>
      <c r="C592" s="320"/>
      <c r="D592" s="316"/>
      <c r="E592" s="468"/>
      <c r="F592" s="468"/>
      <c r="G592" s="314"/>
      <c r="H592" s="320"/>
      <c r="I592" s="324" t="s">
        <v>4461</v>
      </c>
      <c r="J592" s="316"/>
      <c r="K592" s="317"/>
      <c r="L592" s="318"/>
      <c r="M592" s="468"/>
      <c r="N592" s="468"/>
      <c r="O592" s="314"/>
      <c r="P592" s="320"/>
      <c r="Q592" s="324" t="s">
        <v>4462</v>
      </c>
      <c r="R592" s="317"/>
      <c r="S592" s="317"/>
      <c r="T592" s="317"/>
      <c r="U592" s="468"/>
      <c r="V592" s="468"/>
      <c r="W592" s="313"/>
      <c r="X592" s="28"/>
      <c r="Y592" s="28"/>
      <c r="Z592" s="28"/>
    </row>
    <row r="593" spans="1:26" ht="15.75">
      <c r="A593" s="324" t="s">
        <v>4463</v>
      </c>
      <c r="B593" s="320"/>
      <c r="C593" s="320"/>
      <c r="D593" s="316"/>
      <c r="E593" s="468"/>
      <c r="F593" s="468"/>
      <c r="G593" s="313"/>
      <c r="H593" s="320"/>
      <c r="I593" s="324" t="s">
        <v>5009</v>
      </c>
      <c r="J593" s="316"/>
      <c r="K593" s="317"/>
      <c r="L593" s="318"/>
      <c r="M593" s="468"/>
      <c r="N593" s="468"/>
      <c r="O593" s="314"/>
      <c r="P593" s="320"/>
      <c r="Q593" s="324" t="s">
        <v>4464</v>
      </c>
      <c r="R593" s="317"/>
      <c r="S593" s="317"/>
      <c r="T593" s="317"/>
      <c r="U593" s="468"/>
      <c r="V593" s="468"/>
      <c r="W593" s="314"/>
      <c r="X593" s="28"/>
      <c r="Y593" s="28"/>
      <c r="Z593" s="28"/>
    </row>
    <row r="594" spans="1:26" ht="15.75">
      <c r="A594" s="324" t="s">
        <v>4465</v>
      </c>
      <c r="B594" s="320"/>
      <c r="C594" s="320"/>
      <c r="D594" s="316"/>
      <c r="E594" s="468"/>
      <c r="F594" s="468"/>
      <c r="G594" s="313"/>
      <c r="H594" s="320"/>
      <c r="I594" s="324" t="s">
        <v>4466</v>
      </c>
      <c r="J594" s="316"/>
      <c r="K594" s="317"/>
      <c r="L594" s="318"/>
      <c r="M594" s="468"/>
      <c r="N594" s="468"/>
      <c r="O594" s="313"/>
      <c r="P594" s="320"/>
      <c r="Q594" s="324" t="s">
        <v>4467</v>
      </c>
      <c r="R594" s="317"/>
      <c r="S594" s="317"/>
      <c r="T594" s="317"/>
      <c r="U594" s="468"/>
      <c r="V594" s="468"/>
      <c r="W594" s="314"/>
      <c r="X594" s="28"/>
      <c r="Y594" s="28"/>
      <c r="Z594" s="28"/>
    </row>
    <row r="595" spans="1:26" ht="15.75">
      <c r="A595" s="324" t="s">
        <v>4468</v>
      </c>
      <c r="B595" s="320"/>
      <c r="C595" s="320"/>
      <c r="D595" s="316"/>
      <c r="E595" s="468"/>
      <c r="F595" s="468"/>
      <c r="G595" s="314"/>
      <c r="H595" s="316"/>
      <c r="I595" s="324" t="s">
        <v>2218</v>
      </c>
      <c r="J595" s="316"/>
      <c r="K595" s="317"/>
      <c r="L595" s="318"/>
      <c r="M595" s="468"/>
      <c r="N595" s="468"/>
      <c r="O595" s="313"/>
      <c r="P595" s="317"/>
      <c r="Q595" s="324" t="s">
        <v>4469</v>
      </c>
      <c r="R595" s="317"/>
      <c r="S595" s="317"/>
      <c r="T595" s="317"/>
      <c r="U595" s="468"/>
      <c r="V595" s="468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3463</v>
      </c>
      <c r="E598" s="435" t="s">
        <v>3464</v>
      </c>
      <c r="F598" s="435" t="s">
        <v>843</v>
      </c>
      <c r="G598" s="435" t="s">
        <v>2528</v>
      </c>
      <c r="H598" s="435" t="s">
        <v>2197</v>
      </c>
      <c r="I598" s="435" t="s">
        <v>2199</v>
      </c>
      <c r="J598" s="435" t="s">
        <v>2198</v>
      </c>
      <c r="K598" s="435" t="s">
        <v>2200</v>
      </c>
      <c r="L598" s="435" t="s">
        <v>2201</v>
      </c>
      <c r="M598" s="435" t="s">
        <v>2202</v>
      </c>
      <c r="N598" s="435" t="s">
        <v>2203</v>
      </c>
      <c r="O598" s="435" t="s">
        <v>2204</v>
      </c>
      <c r="P598" s="435" t="s">
        <v>2205</v>
      </c>
      <c r="Q598" s="435" t="s">
        <v>2206</v>
      </c>
      <c r="R598" s="435" t="s">
        <v>2207</v>
      </c>
      <c r="S598" s="435" t="s">
        <v>2184</v>
      </c>
      <c r="T598" s="435" t="s">
        <v>2208</v>
      </c>
      <c r="U598" s="435" t="s">
        <v>2209</v>
      </c>
      <c r="V598" s="202" t="s">
        <v>40</v>
      </c>
      <c r="W598" s="28"/>
      <c r="X598" s="28"/>
      <c r="Y598" s="28"/>
      <c r="Z598" s="28"/>
    </row>
    <row r="599" spans="1:26" ht="15.75">
      <c r="A599" s="28" t="s">
        <v>2311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/>
      <c r="S599" s="50"/>
      <c r="T599" s="50"/>
      <c r="U599" s="50"/>
      <c r="V599" s="303">
        <f>SUM(D599:U599)</f>
        <v>32</v>
      </c>
      <c r="W599" s="503">
        <f>SUM($F$558,$M$558,$V$559,$E$566,$N$565,$U$565,$F$574,$N$570,$U$572,$E$579,$N$579,$U$580,$F$587,$M$586,$V$586,$E$595,$M$591,$V$593)</f>
        <v>7980.2000000000089</v>
      </c>
      <c r="X599" s="50" t="s">
        <v>105</v>
      </c>
      <c r="Y599" s="28"/>
      <c r="Z599" s="28"/>
    </row>
    <row r="600" spans="1:26" ht="15.75">
      <c r="A600" s="28" t="s">
        <v>2274</v>
      </c>
      <c r="D600" s="50">
        <v>1</v>
      </c>
      <c r="E600" s="50">
        <v>3</v>
      </c>
      <c r="F600" s="50">
        <v>3</v>
      </c>
      <c r="G600" s="50">
        <v>3</v>
      </c>
      <c r="H600" s="50">
        <v>0</v>
      </c>
      <c r="I600" s="50">
        <v>3</v>
      </c>
      <c r="J600" s="50">
        <v>3</v>
      </c>
      <c r="K600" s="50">
        <v>2</v>
      </c>
      <c r="L600" s="50">
        <v>3</v>
      </c>
      <c r="M600" s="50">
        <v>3</v>
      </c>
      <c r="N600" s="50">
        <v>0</v>
      </c>
      <c r="O600" s="50">
        <v>3</v>
      </c>
      <c r="P600" s="50">
        <v>0</v>
      </c>
      <c r="Q600" s="50">
        <v>0</v>
      </c>
      <c r="R600" s="50"/>
      <c r="S600" s="50"/>
      <c r="T600" s="50"/>
      <c r="U600" s="50"/>
      <c r="V600" s="303">
        <f>SUM(D600:U600)</f>
        <v>27</v>
      </c>
      <c r="W600" s="503">
        <f>SUM($F$560,$M$560,$V$556,$E$567,$N$567,$U$566,$E$574,$N$573,$U$574,$E$581,$N$581,$U$577,$F$588,$M$588,$V$587,$F$595,$M$594,$V$595)</f>
        <v>7211.4600000000037</v>
      </c>
      <c r="X600" s="50" t="s">
        <v>106</v>
      </c>
      <c r="Y600" s="28"/>
      <c r="Z600" s="28"/>
    </row>
    <row r="601" spans="1:26" ht="15.75">
      <c r="A601" s="281" t="s">
        <v>3614</v>
      </c>
      <c r="D601" s="50">
        <v>3</v>
      </c>
      <c r="E601" s="50">
        <v>3</v>
      </c>
      <c r="F601" s="50">
        <v>0</v>
      </c>
      <c r="G601" s="50">
        <v>2</v>
      </c>
      <c r="H601" s="50">
        <v>3</v>
      </c>
      <c r="I601" s="50">
        <v>0</v>
      </c>
      <c r="J601" s="50">
        <v>3</v>
      </c>
      <c r="K601" s="50">
        <v>0</v>
      </c>
      <c r="L601" s="50">
        <v>3</v>
      </c>
      <c r="M601" s="50">
        <v>2</v>
      </c>
      <c r="N601" s="50">
        <v>3</v>
      </c>
      <c r="O601" s="50">
        <v>3</v>
      </c>
      <c r="P601" s="50">
        <v>2</v>
      </c>
      <c r="Q601" s="50">
        <v>0</v>
      </c>
      <c r="R601" s="50"/>
      <c r="S601" s="50"/>
      <c r="T601" s="50"/>
      <c r="U601" s="50"/>
      <c r="V601" s="303">
        <f>SUM(D601:U601)</f>
        <v>27</v>
      </c>
      <c r="W601" s="503">
        <f>SUM($F$557,$M$556,$V$558,$E$563,$M$565,$V$566,$E$571,$N$572,$U$570,$E$578,$N$577,$U$579,$F$584,$N$586,$U$587,$F$592,$M$593,$V$591)</f>
        <v>6716.979999999995</v>
      </c>
      <c r="X601" s="50" t="s">
        <v>107</v>
      </c>
      <c r="Y601" s="28"/>
      <c r="Z601" s="28"/>
    </row>
    <row r="602" spans="1:26" ht="15.75">
      <c r="A602" s="494" t="s">
        <v>3618</v>
      </c>
      <c r="B602" s="327"/>
      <c r="C602" s="327"/>
      <c r="D602" s="330">
        <v>3</v>
      </c>
      <c r="E602" s="330">
        <v>3</v>
      </c>
      <c r="F602" s="330">
        <v>2</v>
      </c>
      <c r="G602" s="330">
        <v>1</v>
      </c>
      <c r="H602" s="330">
        <v>3</v>
      </c>
      <c r="I602" s="330">
        <v>0</v>
      </c>
      <c r="J602" s="330">
        <v>0</v>
      </c>
      <c r="K602" s="330">
        <v>0</v>
      </c>
      <c r="L602" s="330">
        <v>3</v>
      </c>
      <c r="M602" s="330">
        <v>3</v>
      </c>
      <c r="N602" s="330">
        <v>1</v>
      </c>
      <c r="O602" s="330">
        <v>0</v>
      </c>
      <c r="P602" s="330">
        <v>1</v>
      </c>
      <c r="Q602" s="330">
        <v>3</v>
      </c>
      <c r="R602" s="330"/>
      <c r="S602" s="330"/>
      <c r="T602" s="330"/>
      <c r="U602" s="330"/>
      <c r="V602" s="329">
        <f>SUM(D602:U602)</f>
        <v>23</v>
      </c>
      <c r="W602" s="504">
        <f>SUM($F$556,$M$559,$U$559,$F$563,$M$567,$V$564,$E$573,$N$574,$U$573,$E$577,$N$580,$V$580,$E$584,$N$588,$U$585,$F$594,$M$595,$V$594)</f>
        <v>6103.4599999999937</v>
      </c>
      <c r="X602" s="50" t="s">
        <v>108</v>
      </c>
      <c r="Y602" s="28"/>
      <c r="Z602" s="28"/>
    </row>
    <row r="603" spans="1:26" ht="15.75">
      <c r="A603" s="528" t="s">
        <v>2249</v>
      </c>
      <c r="B603" s="531"/>
      <c r="C603" s="531"/>
      <c r="D603" s="532">
        <v>2</v>
      </c>
      <c r="E603" s="532">
        <v>3</v>
      </c>
      <c r="F603" s="532">
        <v>3</v>
      </c>
      <c r="G603" s="532">
        <v>0</v>
      </c>
      <c r="H603" s="532">
        <v>0</v>
      </c>
      <c r="I603" s="532">
        <v>3</v>
      </c>
      <c r="J603" s="532">
        <v>3</v>
      </c>
      <c r="K603" s="532">
        <v>3</v>
      </c>
      <c r="L603" s="532">
        <v>0</v>
      </c>
      <c r="M603" s="532">
        <v>0</v>
      </c>
      <c r="N603" s="532">
        <v>3</v>
      </c>
      <c r="O603" s="532">
        <v>2</v>
      </c>
      <c r="P603" s="532">
        <v>0</v>
      </c>
      <c r="Q603" s="532">
        <v>0</v>
      </c>
      <c r="R603" s="532"/>
      <c r="S603" s="532"/>
      <c r="T603" s="532"/>
      <c r="U603" s="532"/>
      <c r="V603" s="533">
        <f>SUM(D603:U603)</f>
        <v>22</v>
      </c>
      <c r="W603" s="534">
        <f>SUM($E$560,$N$557,$U$560,$F$566,$N$564,$U$567,$F$572,$M$574,$V$570,$F$581,$M$578,$V$581,$E$587,$M$585,$V$588,$E$593,$N$595,$U$591)</f>
        <v>7389.5000000000073</v>
      </c>
      <c r="X603" s="28"/>
      <c r="Y603" s="28"/>
      <c r="Z603" s="28"/>
    </row>
    <row r="604" spans="1:26" ht="15.75">
      <c r="A604" s="63" t="s">
        <v>3616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/>
      <c r="S604" s="50"/>
      <c r="T604" s="50"/>
      <c r="U604" s="50"/>
      <c r="V604" s="303">
        <f>SUM(D604:U604)</f>
        <v>21</v>
      </c>
      <c r="W604" s="503">
        <f>SUM($E$559,$N$558,$V$560,$E$564,$N$563,$U$563,$F$573,$M$572,$V$574,$F$580,$M$579,$U$581,$F$585,$M$584,$V$584,$E$594,$N$593,$U$595)</f>
        <v>7482.0300000000016</v>
      </c>
      <c r="X604" s="28"/>
      <c r="Y604" s="28"/>
      <c r="Z604" s="28"/>
    </row>
    <row r="605" spans="1:26" ht="15.75">
      <c r="A605" s="63" t="s">
        <v>3613</v>
      </c>
      <c r="D605" s="50">
        <v>0</v>
      </c>
      <c r="E605" s="50">
        <v>0</v>
      </c>
      <c r="F605" s="50">
        <v>0</v>
      </c>
      <c r="G605" s="50">
        <v>2</v>
      </c>
      <c r="H605" s="50">
        <v>3</v>
      </c>
      <c r="I605" s="50">
        <v>0</v>
      </c>
      <c r="J605" s="50">
        <v>1</v>
      </c>
      <c r="K605" s="50">
        <v>3</v>
      </c>
      <c r="L605" s="50">
        <v>0</v>
      </c>
      <c r="M605" s="50">
        <v>1</v>
      </c>
      <c r="N605" s="50">
        <v>3</v>
      </c>
      <c r="O605" s="50">
        <v>2</v>
      </c>
      <c r="P605" s="50">
        <v>3</v>
      </c>
      <c r="Q605" s="50">
        <v>3</v>
      </c>
      <c r="R605" s="50"/>
      <c r="S605" s="50"/>
      <c r="T605" s="50"/>
      <c r="U605" s="50"/>
      <c r="V605" s="303">
        <f>SUM(D605:U605)</f>
        <v>21</v>
      </c>
      <c r="W605" s="503">
        <f>SUM($E$557,$N$560,$U$557,$F$564,$M$564,$V$565,$F$570,$M$571,$V$573,$F$578,$M$581,$V$578,$E$585,$N$585,$U$586,$E$591,$N$592,$U$594)</f>
        <v>6691.560000000004</v>
      </c>
      <c r="X605" s="28"/>
      <c r="Y605" s="28"/>
      <c r="Z605" s="28"/>
    </row>
    <row r="606" spans="1:26" ht="15.75">
      <c r="A606" s="28" t="s">
        <v>3615</v>
      </c>
      <c r="D606" s="50">
        <v>0</v>
      </c>
      <c r="E606" s="50">
        <v>0</v>
      </c>
      <c r="F606" s="50">
        <v>3</v>
      </c>
      <c r="G606" s="50">
        <v>0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0</v>
      </c>
      <c r="N606" s="50">
        <v>2</v>
      </c>
      <c r="O606" s="50">
        <v>0</v>
      </c>
      <c r="P606" s="50">
        <v>3</v>
      </c>
      <c r="Q606" s="50">
        <v>3</v>
      </c>
      <c r="R606" s="50"/>
      <c r="S606" s="50"/>
      <c r="T606" s="50"/>
      <c r="U606" s="50"/>
      <c r="V606" s="303">
        <f>SUM(D606:U606)</f>
        <v>17</v>
      </c>
      <c r="W606" s="503">
        <f>SUM($E$558,$N$559,$U$558,$F$567,$M$566,$V$563,$E$572,$N$571,$U$571,$F$579,$M$580,$V$579,$E$588,$N$587,$U$584,$F$593,$M$592,$V$592)</f>
        <v>6149.8999999999951</v>
      </c>
      <c r="X606" s="28"/>
      <c r="Y606" s="28"/>
      <c r="Z606" s="28"/>
    </row>
    <row r="607" spans="1:26" ht="15.75">
      <c r="A607" s="28" t="s">
        <v>3617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/>
      <c r="S607" s="50"/>
      <c r="T607" s="50"/>
      <c r="U607" s="50"/>
      <c r="V607" s="303">
        <f>SUM(D607:U607)</f>
        <v>14</v>
      </c>
      <c r="W607" s="503">
        <f>SUM($F$559,$M$557,$V$557,$E$565,$N$566,$U$564,$F$571,$M$573,$V$572,$E$580,$N$578,$U$578,$F$586,$M$587,$V$585,$E$592,$N$594,$U$593)</f>
        <v>5240.9200000000046</v>
      </c>
      <c r="X607" s="28"/>
      <c r="Y607" s="28"/>
      <c r="Z607" s="28"/>
    </row>
    <row r="608" spans="1:26" ht="15.75">
      <c r="A608" s="537" t="s">
        <v>2282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/>
      <c r="S608" s="50"/>
      <c r="T608" s="50"/>
      <c r="U608" s="50"/>
      <c r="V608" s="303">
        <f>SUM(D608:U608)</f>
        <v>6</v>
      </c>
      <c r="W608" s="503">
        <f>SUM($E$556,$N$556,$U$556,$F$565,$M$563,$V$567,$E$570,$M$570,$V$571,$F$577,$M$577,$V$577,$E$586,$N$584,$U$588,$F$591,$N$591,$U$592)</f>
        <v>3319.9399999999969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9">
        <f>SUM(W599:W608)</f>
        <v>64285.950000000004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9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3475</v>
      </c>
      <c r="B613" s="326"/>
      <c r="D613" s="435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4"/>
      <c r="C615" s="444"/>
      <c r="D615" s="445"/>
      <c r="E615" s="445"/>
      <c r="F615" s="445"/>
      <c r="G615" s="318" t="s">
        <v>150</v>
      </c>
      <c r="H615" s="444"/>
      <c r="I615" s="319" t="s">
        <v>184</v>
      </c>
      <c r="J615" s="445"/>
      <c r="K615" s="444"/>
      <c r="L615" s="318"/>
      <c r="M615" s="444"/>
      <c r="N615" s="444"/>
      <c r="O615" s="318" t="s">
        <v>150</v>
      </c>
      <c r="P615" s="444"/>
      <c r="Q615" s="319" t="s">
        <v>843</v>
      </c>
      <c r="R615" s="444"/>
      <c r="S615" s="444"/>
      <c r="T615" s="444"/>
      <c r="U615" s="444"/>
      <c r="V615" s="444"/>
      <c r="W615" s="318" t="s">
        <v>150</v>
      </c>
    </row>
    <row r="616" spans="1:26" ht="15.75">
      <c r="A616" s="324" t="s">
        <v>3654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4556</v>
      </c>
      <c r="H616" s="320"/>
      <c r="I616" s="324" t="s">
        <v>3950</v>
      </c>
      <c r="J616" s="316"/>
      <c r="K616" s="317"/>
      <c r="L616" s="318"/>
      <c r="M616" s="468">
        <f>'Punten per wedstrijd'!E24*1.2</f>
        <v>523.08000000000004</v>
      </c>
      <c r="N616" s="468">
        <f>'Punten per wedstrijd'!E5</f>
        <v>187.8</v>
      </c>
      <c r="O616" s="313" t="s">
        <v>4555</v>
      </c>
      <c r="P616" s="320"/>
      <c r="Q616" s="324" t="s">
        <v>3955</v>
      </c>
      <c r="R616" s="317"/>
      <c r="S616" s="317"/>
      <c r="T616" s="317"/>
      <c r="U616" s="468">
        <f>'Punten per wedstrijd'!F109*1.2</f>
        <v>902.04000000000008</v>
      </c>
      <c r="V616" s="468">
        <f>'Punten per wedstrijd'!F198</f>
        <v>949.60000000000036</v>
      </c>
      <c r="W616" s="313" t="s">
        <v>4554</v>
      </c>
      <c r="Y616" s="28"/>
      <c r="Z616" s="28"/>
    </row>
    <row r="617" spans="1:26" ht="15.75">
      <c r="A617" s="324" t="s">
        <v>3655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4555</v>
      </c>
      <c r="H617" s="320"/>
      <c r="I617" s="324" t="s">
        <v>3951</v>
      </c>
      <c r="J617" s="316"/>
      <c r="K617" s="317"/>
      <c r="L617" s="318"/>
      <c r="M617" s="468">
        <f>'Punten per wedstrijd'!E41*1.2</f>
        <v>102.96000000000008</v>
      </c>
      <c r="N617" s="468">
        <f>'Punten per wedstrijd'!E97</f>
        <v>63.800000000000011</v>
      </c>
      <c r="O617" s="313" t="s">
        <v>4555</v>
      </c>
      <c r="P617" s="320"/>
      <c r="Q617" s="324" t="s">
        <v>3956</v>
      </c>
      <c r="R617" s="317"/>
      <c r="S617" s="317"/>
      <c r="T617" s="317"/>
      <c r="U617" s="468">
        <f>'Punten per wedstrijd'!F115*1.2</f>
        <v>564.6</v>
      </c>
      <c r="V617" s="468">
        <f>'Punten per wedstrijd'!F145</f>
        <v>520.60000000000082</v>
      </c>
      <c r="W617" s="313" t="s">
        <v>4557</v>
      </c>
      <c r="Y617" s="28"/>
      <c r="Z617" s="28"/>
    </row>
    <row r="618" spans="1:26" ht="15.75">
      <c r="A618" s="324" t="s">
        <v>3656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4555</v>
      </c>
      <c r="H618" s="320"/>
      <c r="I618" s="324" t="s">
        <v>3952</v>
      </c>
      <c r="J618" s="316"/>
      <c r="K618" s="317"/>
      <c r="L618" s="318"/>
      <c r="M618" s="468">
        <f>'Punten per wedstrijd'!E68*1.2</f>
        <v>214.20000000000007</v>
      </c>
      <c r="N618" s="468">
        <f>'Punten per wedstrijd'!E36</f>
        <v>152.5</v>
      </c>
      <c r="O618" s="313" t="s">
        <v>4555</v>
      </c>
      <c r="P618" s="320"/>
      <c r="Q618" s="324" t="s">
        <v>3957</v>
      </c>
      <c r="R618" s="317"/>
      <c r="S618" s="317"/>
      <c r="T618" s="317"/>
      <c r="U618" s="468">
        <f>'Punten per wedstrijd'!F138*1.2</f>
        <v>734.99999999999943</v>
      </c>
      <c r="V618" s="468">
        <f>'Punten per wedstrijd'!F128</f>
        <v>722.599999999999</v>
      </c>
      <c r="W618" s="313" t="s">
        <v>4557</v>
      </c>
      <c r="Y618" s="28"/>
      <c r="Z618" s="28"/>
    </row>
    <row r="619" spans="1:26" ht="15.75">
      <c r="A619" s="324" t="s">
        <v>3657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4556</v>
      </c>
      <c r="H619" s="320"/>
      <c r="I619" s="324" t="s">
        <v>3953</v>
      </c>
      <c r="J619" s="316"/>
      <c r="K619" s="317"/>
      <c r="L619" s="318"/>
      <c r="M619" s="468">
        <f>'Punten per wedstrijd'!E79*1.2</f>
        <v>311.88000000000011</v>
      </c>
      <c r="N619" s="468">
        <f>'Punten per wedstrijd'!E34</f>
        <v>153.20000000000016</v>
      </c>
      <c r="O619" s="313" t="s">
        <v>4555</v>
      </c>
      <c r="P619" s="320"/>
      <c r="Q619" s="324" t="s">
        <v>3958</v>
      </c>
      <c r="R619" s="317"/>
      <c r="S619" s="317"/>
      <c r="T619" s="317"/>
      <c r="U619" s="468">
        <f>'Punten per wedstrijd'!F183*1.2</f>
        <v>816.11999999999819</v>
      </c>
      <c r="V619" s="468">
        <f>'Punten per wedstrijd'!F172</f>
        <v>532.40000000000009</v>
      </c>
      <c r="W619" s="313" t="s">
        <v>4555</v>
      </c>
      <c r="Y619" s="28"/>
      <c r="Z619" s="28"/>
    </row>
    <row r="620" spans="1:26" ht="15.75">
      <c r="A620" s="324" t="s">
        <v>3658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4556</v>
      </c>
      <c r="H620" s="320"/>
      <c r="I620" s="324" t="s">
        <v>3954</v>
      </c>
      <c r="J620" s="316"/>
      <c r="K620" s="317"/>
      <c r="L620" s="318"/>
      <c r="M620" s="468">
        <f>'Punten per wedstrijd'!E94*1.2</f>
        <v>191.87999999999968</v>
      </c>
      <c r="N620" s="468">
        <f>'Punten per wedstrijd'!E11</f>
        <v>240.70000000000005</v>
      </c>
      <c r="O620" s="313" t="s">
        <v>4556</v>
      </c>
      <c r="P620" s="320"/>
      <c r="Q620" s="324" t="s">
        <v>3959</v>
      </c>
      <c r="R620" s="317"/>
      <c r="S620" s="317"/>
      <c r="T620" s="317"/>
      <c r="U620" s="468">
        <f>'Punten per wedstrijd'!F201*1.2</f>
        <v>969</v>
      </c>
      <c r="V620" s="468">
        <f>'Punten per wedstrijd'!F140</f>
        <v>293.80000000000041</v>
      </c>
      <c r="W620" s="313" t="s">
        <v>4555</v>
      </c>
      <c r="Y620" s="28"/>
      <c r="Z620" s="28"/>
    </row>
    <row r="621" spans="1:26" ht="15.75">
      <c r="A621" s="323"/>
      <c r="B621" s="320"/>
      <c r="C621" s="320"/>
      <c r="D621" s="316"/>
      <c r="E621" s="468"/>
      <c r="F621" s="468"/>
      <c r="G621" s="313"/>
      <c r="H621" s="320"/>
      <c r="I621" s="320"/>
      <c r="J621" s="316"/>
      <c r="K621" s="317"/>
      <c r="L621" s="318"/>
      <c r="M621" s="500"/>
      <c r="N621" s="500"/>
      <c r="O621" s="314"/>
      <c r="P621" s="320"/>
      <c r="Q621" s="316"/>
      <c r="R621" s="317"/>
      <c r="S621" s="317"/>
      <c r="T621" s="317"/>
      <c r="U621" s="500"/>
      <c r="V621" s="500"/>
      <c r="W621" s="314"/>
      <c r="Y621" s="28"/>
      <c r="Z621" s="28"/>
    </row>
    <row r="622" spans="1:26" s="39" customFormat="1" ht="15.75">
      <c r="A622" s="319" t="s">
        <v>2210</v>
      </c>
      <c r="B622" s="444"/>
      <c r="C622" s="444"/>
      <c r="D622" s="445"/>
      <c r="E622" s="468"/>
      <c r="F622" s="468"/>
      <c r="G622" s="447" t="s">
        <v>150</v>
      </c>
      <c r="H622" s="444"/>
      <c r="I622" s="319" t="s">
        <v>186</v>
      </c>
      <c r="J622" s="445"/>
      <c r="K622" s="444"/>
      <c r="L622" s="318"/>
      <c r="M622" s="500"/>
      <c r="N622" s="500"/>
      <c r="O622" s="447" t="s">
        <v>150</v>
      </c>
      <c r="P622" s="444"/>
      <c r="Q622" s="319" t="s">
        <v>175</v>
      </c>
      <c r="R622" s="444"/>
      <c r="S622" s="444"/>
      <c r="T622" s="444"/>
      <c r="U622" s="500"/>
      <c r="V622" s="500"/>
      <c r="W622" s="447" t="s">
        <v>150</v>
      </c>
    </row>
    <row r="623" spans="1:26" ht="15.75">
      <c r="A623" s="324" t="s">
        <v>3960</v>
      </c>
      <c r="B623" s="320"/>
      <c r="C623" s="320"/>
      <c r="D623" s="316"/>
      <c r="E623" s="468">
        <f>'Punten per wedstrijd'!F24*1.2</f>
        <v>279.95999999999992</v>
      </c>
      <c r="F623" s="468">
        <f>'Punten per wedstrijd'!F79</f>
        <v>193.19999999999982</v>
      </c>
      <c r="G623" s="313" t="s">
        <v>4555</v>
      </c>
      <c r="H623" s="320"/>
      <c r="I623" s="324" t="s">
        <v>3965</v>
      </c>
      <c r="J623" s="316"/>
      <c r="K623" s="317"/>
      <c r="L623" s="318"/>
      <c r="M623" s="468">
        <f>'Punten per wedstrijd'!G5*1.2</f>
        <v>116.88000000000011</v>
      </c>
      <c r="N623" s="468">
        <f>'Punten per wedstrijd'!G36</f>
        <v>203.40000000000123</v>
      </c>
      <c r="O623" s="313" t="s">
        <v>4556</v>
      </c>
      <c r="P623" s="320"/>
      <c r="Q623" s="324" t="s">
        <v>3970</v>
      </c>
      <c r="R623" s="317"/>
      <c r="S623" s="317"/>
      <c r="T623" s="317"/>
      <c r="U623" s="468">
        <f>'Punten per wedstrijd'!G140*1.2</f>
        <v>941.0400000000003</v>
      </c>
      <c r="V623" s="468">
        <f>'Punten per wedstrijd'!G138</f>
        <v>890.99999999999955</v>
      </c>
      <c r="W623" s="313" t="s">
        <v>4557</v>
      </c>
      <c r="Y623" s="28"/>
      <c r="Z623" s="28"/>
    </row>
    <row r="624" spans="1:26" ht="15.75">
      <c r="A624" s="324" t="s">
        <v>3961</v>
      </c>
      <c r="B624" s="320"/>
      <c r="C624" s="320"/>
      <c r="D624" s="316"/>
      <c r="E624" s="468">
        <f>'Punten per wedstrijd'!F36*1.2</f>
        <v>325.80000000000052</v>
      </c>
      <c r="F624" s="468">
        <f>'Punten per wedstrijd'!F11</f>
        <v>160</v>
      </c>
      <c r="G624" s="313" t="s">
        <v>4555</v>
      </c>
      <c r="H624" s="320"/>
      <c r="I624" s="324" t="s">
        <v>3966</v>
      </c>
      <c r="J624" s="316"/>
      <c r="K624" s="317"/>
      <c r="L624" s="318"/>
      <c r="M624" s="468">
        <f>'Punten per wedstrijd'!G11*1.2</f>
        <v>253.80000000000052</v>
      </c>
      <c r="N624" s="468">
        <f>'Punten per wedstrijd'!G97</f>
        <v>247.50000000000045</v>
      </c>
      <c r="O624" s="313" t="s">
        <v>4557</v>
      </c>
      <c r="P624" s="320"/>
      <c r="Q624" s="324" t="s">
        <v>3971</v>
      </c>
      <c r="R624" s="317"/>
      <c r="S624" s="317"/>
      <c r="T624" s="317"/>
      <c r="U624" s="468">
        <f>'Punten per wedstrijd'!G145*1.2</f>
        <v>1006.8000000000005</v>
      </c>
      <c r="V624" s="468">
        <f>'Punten per wedstrijd'!G183</f>
        <v>1002.5999999999995</v>
      </c>
      <c r="W624" s="313" t="s">
        <v>4557</v>
      </c>
      <c r="Y624" s="28"/>
      <c r="Z624" s="28"/>
    </row>
    <row r="625" spans="1:26" ht="15.75">
      <c r="A625" s="324" t="s">
        <v>3962</v>
      </c>
      <c r="B625" s="320"/>
      <c r="C625" s="320"/>
      <c r="D625" s="316"/>
      <c r="E625" s="468">
        <f>'Punten per wedstrijd'!F41*1.2</f>
        <v>612.47999999999979</v>
      </c>
      <c r="F625" s="468">
        <f>'Punten per wedstrijd'!F5</f>
        <v>282.40000000000009</v>
      </c>
      <c r="G625" s="313" t="s">
        <v>4555</v>
      </c>
      <c r="H625" s="320"/>
      <c r="I625" s="324" t="s">
        <v>3967</v>
      </c>
      <c r="J625" s="316"/>
      <c r="K625" s="317"/>
      <c r="L625" s="318"/>
      <c r="M625" s="468">
        <f>'Punten per wedstrijd'!G24*1.2</f>
        <v>444.3599999999991</v>
      </c>
      <c r="N625" s="468">
        <f>'Punten per wedstrijd'!G68</f>
        <v>216.50000000000045</v>
      </c>
      <c r="O625" s="313" t="s">
        <v>4555</v>
      </c>
      <c r="P625" s="320"/>
      <c r="Q625" s="324" t="s">
        <v>3972</v>
      </c>
      <c r="R625" s="317"/>
      <c r="S625" s="317"/>
      <c r="T625" s="317"/>
      <c r="U625" s="468">
        <f>'Punten per wedstrijd'!G172*1.2</f>
        <v>1008.7199999999998</v>
      </c>
      <c r="V625" s="468">
        <f>'Punten per wedstrijd'!G115</f>
        <v>792.50000000000045</v>
      </c>
      <c r="W625" s="313" t="s">
        <v>4555</v>
      </c>
      <c r="Y625" s="28"/>
      <c r="Z625" s="28"/>
    </row>
    <row r="626" spans="1:26" ht="15.75">
      <c r="A626" s="324" t="s">
        <v>3963</v>
      </c>
      <c r="B626" s="320"/>
      <c r="C626" s="320"/>
      <c r="D626" s="316"/>
      <c r="E626" s="468">
        <f>'Punten per wedstrijd'!F68*1.2</f>
        <v>281.63999999999947</v>
      </c>
      <c r="F626" s="468">
        <f>'Punten per wedstrijd'!F97</f>
        <v>172</v>
      </c>
      <c r="G626" s="313" t="s">
        <v>4555</v>
      </c>
      <c r="H626" s="320"/>
      <c r="I626" s="324" t="s">
        <v>3968</v>
      </c>
      <c r="J626" s="316"/>
      <c r="K626" s="317"/>
      <c r="L626" s="318"/>
      <c r="M626" s="468">
        <f>'Punten per wedstrijd'!G34*1.2</f>
        <v>221.39999999999944</v>
      </c>
      <c r="N626" s="468">
        <f>'Punten per wedstrijd'!G41</f>
        <v>267.50000000000045</v>
      </c>
      <c r="O626" s="313" t="s">
        <v>4554</v>
      </c>
      <c r="P626" s="320"/>
      <c r="Q626" s="324" t="s">
        <v>3973</v>
      </c>
      <c r="R626" s="317"/>
      <c r="S626" s="317"/>
      <c r="T626" s="317"/>
      <c r="U626" s="468">
        <f>'Punten per wedstrijd'!G198*1.2</f>
        <v>1270.6800000000017</v>
      </c>
      <c r="V626" s="468">
        <f>'Punten per wedstrijd'!G128</f>
        <v>683.69999999999936</v>
      </c>
      <c r="W626" s="313" t="s">
        <v>4555</v>
      </c>
      <c r="Y626" s="28"/>
      <c r="Z626" s="28"/>
    </row>
    <row r="627" spans="1:26" ht="15.75">
      <c r="A627" s="324" t="s">
        <v>3964</v>
      </c>
      <c r="B627" s="320"/>
      <c r="C627" s="320"/>
      <c r="D627" s="316"/>
      <c r="E627" s="468">
        <f>'Punten per wedstrijd'!F94*1.2</f>
        <v>273.48000000000036</v>
      </c>
      <c r="F627" s="468">
        <f>'Punten per wedstrijd'!F34</f>
        <v>165.40000000000009</v>
      </c>
      <c r="G627" s="313" t="s">
        <v>4555</v>
      </c>
      <c r="H627" s="320"/>
      <c r="I627" s="324" t="s">
        <v>3969</v>
      </c>
      <c r="J627" s="316"/>
      <c r="K627" s="317"/>
      <c r="L627" s="318"/>
      <c r="M627" s="468">
        <f>'Punten per wedstrijd'!G79*1.2</f>
        <v>0</v>
      </c>
      <c r="N627" s="468">
        <f>'Punten per wedstrijd'!G94</f>
        <v>226.50000000000091</v>
      </c>
      <c r="O627" s="313" t="s">
        <v>4556</v>
      </c>
      <c r="P627" s="320"/>
      <c r="Q627" s="324" t="s">
        <v>3974</v>
      </c>
      <c r="R627" s="317"/>
      <c r="S627" s="317"/>
      <c r="T627" s="317"/>
      <c r="U627" s="468">
        <f>'Punten per wedstrijd'!G201*1.2</f>
        <v>959.64000000000078</v>
      </c>
      <c r="V627" s="468">
        <f>'Punten per wedstrijd'!G109</f>
        <v>520.60000000000127</v>
      </c>
      <c r="W627" s="313" t="s">
        <v>4555</v>
      </c>
      <c r="Y627" s="28"/>
      <c r="Z627" s="28"/>
    </row>
    <row r="628" spans="1:26" ht="15.75">
      <c r="A628" s="323"/>
      <c r="B628" s="320"/>
      <c r="C628" s="320"/>
      <c r="D628" s="316"/>
      <c r="E628" s="468"/>
      <c r="F628" s="468"/>
      <c r="G628" s="311"/>
      <c r="H628" s="320"/>
      <c r="I628" s="316"/>
      <c r="J628" s="316"/>
      <c r="K628" s="317"/>
      <c r="L628" s="318"/>
      <c r="M628" s="500"/>
      <c r="N628" s="500"/>
      <c r="O628" s="314"/>
      <c r="P628" s="320"/>
      <c r="Q628" s="317"/>
      <c r="R628" s="317"/>
      <c r="S628" s="317"/>
      <c r="T628" s="317"/>
      <c r="U628" s="500"/>
      <c r="V628" s="500"/>
      <c r="W628" s="314"/>
      <c r="Y628" s="28"/>
      <c r="Z628" s="28"/>
    </row>
    <row r="629" spans="1:26" s="39" customFormat="1" ht="15.75">
      <c r="A629" s="319" t="s">
        <v>187</v>
      </c>
      <c r="B629" s="444"/>
      <c r="C629" s="444"/>
      <c r="D629" s="445"/>
      <c r="E629" s="468"/>
      <c r="F629" s="468"/>
      <c r="G629" s="447" t="s">
        <v>150</v>
      </c>
      <c r="H629" s="444"/>
      <c r="I629" s="319" t="s">
        <v>188</v>
      </c>
      <c r="J629" s="445"/>
      <c r="K629" s="444"/>
      <c r="L629" s="318"/>
      <c r="M629" s="500"/>
      <c r="N629" s="500"/>
      <c r="O629" s="447" t="s">
        <v>150</v>
      </c>
      <c r="P629" s="444"/>
      <c r="Q629" s="319" t="s">
        <v>2211</v>
      </c>
      <c r="R629" s="444"/>
      <c r="S629" s="444"/>
      <c r="T629" s="444"/>
      <c r="U629" s="500"/>
      <c r="V629" s="500"/>
      <c r="W629" s="447" t="s">
        <v>150</v>
      </c>
    </row>
    <row r="630" spans="1:26" ht="15.75">
      <c r="A630" s="324" t="s">
        <v>3975</v>
      </c>
      <c r="B630" s="320"/>
      <c r="C630" s="320"/>
      <c r="D630" s="316"/>
      <c r="E630" s="468">
        <f>'Punten per wedstrijd'!H109*1.2</f>
        <v>539.76000000000181</v>
      </c>
      <c r="F630" s="468">
        <f>'Punten per wedstrijd'!H115</f>
        <v>780.10000000000082</v>
      </c>
      <c r="G630" s="313" t="s">
        <v>4556</v>
      </c>
      <c r="H630" s="320"/>
      <c r="I630" s="324" t="s">
        <v>3979</v>
      </c>
      <c r="J630" s="316"/>
      <c r="K630" s="317"/>
      <c r="L630" s="318"/>
      <c r="M630" s="468">
        <f>'Punten per wedstrijd'!H5*1.2</f>
        <v>585.84000000000083</v>
      </c>
      <c r="N630" s="468">
        <f>'Punten per wedstrijd'!H68</f>
        <v>499.30000000000064</v>
      </c>
      <c r="O630" s="313" t="s">
        <v>4557</v>
      </c>
      <c r="P630" s="320"/>
      <c r="Q630" s="324" t="s">
        <v>3984</v>
      </c>
      <c r="R630" s="317"/>
      <c r="S630" s="317"/>
      <c r="T630" s="317"/>
      <c r="U630" s="468">
        <f>'Punten per wedstrijd'!I128*1.2</f>
        <v>1130.8800000000006</v>
      </c>
      <c r="V630" s="468">
        <f>'Punten per wedstrijd'!I201</f>
        <v>790.20000000000073</v>
      </c>
      <c r="W630" s="313" t="s">
        <v>4555</v>
      </c>
      <c r="Y630" s="28"/>
      <c r="Z630" s="28"/>
    </row>
    <row r="631" spans="1:26" ht="15.75">
      <c r="A631" s="324" t="s">
        <v>3976</v>
      </c>
      <c r="B631" s="320"/>
      <c r="C631" s="320"/>
      <c r="D631" s="316"/>
      <c r="E631" s="468">
        <f>'Punten per wedstrijd'!H128*1.2</f>
        <v>1038.7199999999998</v>
      </c>
      <c r="F631" s="468">
        <f>'Punten per wedstrijd'!H145</f>
        <v>601.59999999999991</v>
      </c>
      <c r="G631" s="313" t="s">
        <v>4555</v>
      </c>
      <c r="H631" s="320"/>
      <c r="I631" s="324" t="s">
        <v>3980</v>
      </c>
      <c r="J631" s="316"/>
      <c r="K631" s="317"/>
      <c r="L631" s="318"/>
      <c r="M631" s="468">
        <f>'Punten per wedstrijd'!H11*1.2</f>
        <v>557.58000000000061</v>
      </c>
      <c r="N631" s="468">
        <f>'Punten per wedstrijd'!H34</f>
        <v>437.79999999999927</v>
      </c>
      <c r="O631" s="313" t="s">
        <v>4555</v>
      </c>
      <c r="P631" s="320"/>
      <c r="Q631" s="324" t="s">
        <v>3985</v>
      </c>
      <c r="R631" s="317"/>
      <c r="S631" s="317"/>
      <c r="T631" s="317"/>
      <c r="U631" s="468">
        <f>'Punten per wedstrijd'!I138*1.2</f>
        <v>1203.6000000000022</v>
      </c>
      <c r="V631" s="468">
        <f>'Punten per wedstrijd'!I109</f>
        <v>484.49999999999818</v>
      </c>
      <c r="W631" s="313" t="s">
        <v>4555</v>
      </c>
      <c r="Y631" s="28"/>
      <c r="Z631" s="28"/>
    </row>
    <row r="632" spans="1:26" ht="15.75">
      <c r="A632" s="324" t="s">
        <v>2277</v>
      </c>
      <c r="B632" s="320"/>
      <c r="C632" s="320"/>
      <c r="D632" s="316"/>
      <c r="E632" s="468">
        <f>'Punten per wedstrijd'!H138*1.2</f>
        <v>921.83999999999969</v>
      </c>
      <c r="F632" s="468">
        <f>'Punten per wedstrijd'!H201</f>
        <v>660.00000000000045</v>
      </c>
      <c r="G632" s="313" t="s">
        <v>4555</v>
      </c>
      <c r="H632" s="320"/>
      <c r="I632" s="324" t="s">
        <v>3981</v>
      </c>
      <c r="J632" s="316"/>
      <c r="K632" s="317"/>
      <c r="L632" s="318"/>
      <c r="M632" s="468">
        <f>'Punten per wedstrijd'!H36*1.2</f>
        <v>701.15999999999963</v>
      </c>
      <c r="N632" s="468">
        <f>'Punten per wedstrijd'!H24</f>
        <v>639.40000000000055</v>
      </c>
      <c r="O632" s="313" t="s">
        <v>4557</v>
      </c>
      <c r="P632" s="320"/>
      <c r="Q632" s="324" t="s">
        <v>3986</v>
      </c>
      <c r="R632" s="317"/>
      <c r="S632" s="317"/>
      <c r="T632" s="317"/>
      <c r="U632" s="468">
        <f>'Punten per wedstrijd'!I172*1.2</f>
        <v>915.12000000000046</v>
      </c>
      <c r="V632" s="468">
        <f>'Punten per wedstrijd'!I145</f>
        <v>796.60000000000218</v>
      </c>
      <c r="W632" s="313" t="s">
        <v>4557</v>
      </c>
      <c r="Y632" s="28"/>
      <c r="Z632" s="28"/>
    </row>
    <row r="633" spans="1:26" ht="15.75">
      <c r="A633" s="324" t="s">
        <v>3977</v>
      </c>
      <c r="B633" s="320"/>
      <c r="C633" s="320"/>
      <c r="D633" s="316"/>
      <c r="E633" s="468">
        <f>'Punten per wedstrijd'!H183*1.2</f>
        <v>1072.8000000000011</v>
      </c>
      <c r="F633" s="468">
        <f>'Punten per wedstrijd'!H140</f>
        <v>845.89999999999964</v>
      </c>
      <c r="G633" s="313" t="s">
        <v>4555</v>
      </c>
      <c r="H633" s="320"/>
      <c r="I633" s="324" t="s">
        <v>3982</v>
      </c>
      <c r="J633" s="316"/>
      <c r="K633" s="317"/>
      <c r="L633" s="318"/>
      <c r="M633" s="468">
        <f>'Punten per wedstrijd'!H41*1.2</f>
        <v>808.20000000000107</v>
      </c>
      <c r="N633" s="468">
        <f>'Punten per wedstrijd'!H94</f>
        <v>456.90000000000146</v>
      </c>
      <c r="O633" s="313" t="s">
        <v>4555</v>
      </c>
      <c r="P633" s="320"/>
      <c r="Q633" s="324" t="s">
        <v>3987</v>
      </c>
      <c r="R633" s="317"/>
      <c r="S633" s="317"/>
      <c r="T633" s="317"/>
      <c r="U633" s="468">
        <f>'Punten per wedstrijd'!I183*1.2</f>
        <v>1160.0999999999999</v>
      </c>
      <c r="V633" s="468">
        <f>'Punten per wedstrijd'!I115</f>
        <v>925.00000000000091</v>
      </c>
      <c r="W633" s="313" t="s">
        <v>4555</v>
      </c>
      <c r="Y633" s="28"/>
      <c r="Z633" s="28"/>
    </row>
    <row r="634" spans="1:26" ht="15.75">
      <c r="A634" s="324" t="s">
        <v>3978</v>
      </c>
      <c r="B634" s="320"/>
      <c r="C634" s="320"/>
      <c r="D634" s="316"/>
      <c r="E634" s="468">
        <f>'Punten per wedstrijd'!H198*1.2</f>
        <v>1120.5600000000002</v>
      </c>
      <c r="F634" s="468">
        <f>'Punten per wedstrijd'!H172</f>
        <v>548.89999999999964</v>
      </c>
      <c r="G634" s="313" t="s">
        <v>4555</v>
      </c>
      <c r="H634" s="316"/>
      <c r="I634" s="324" t="s">
        <v>3983</v>
      </c>
      <c r="J634" s="316"/>
      <c r="K634" s="317"/>
      <c r="L634" s="318"/>
      <c r="M634" s="468">
        <f>'Punten per wedstrijd'!H97*1.2</f>
        <v>745.91999999999928</v>
      </c>
      <c r="N634" s="468">
        <f>'Punten per wedstrijd'!H79</f>
        <v>451.5</v>
      </c>
      <c r="O634" s="313" t="s">
        <v>4555</v>
      </c>
      <c r="P634" s="317"/>
      <c r="Q634" s="324" t="s">
        <v>3988</v>
      </c>
      <c r="R634" s="317"/>
      <c r="S634" s="317"/>
      <c r="T634" s="317"/>
      <c r="U634" s="468">
        <f>'Punten per wedstrijd'!I198*1.2</f>
        <v>955.44000000000187</v>
      </c>
      <c r="V634" s="468">
        <f>'Punten per wedstrijd'!I140</f>
        <v>939.70000000000073</v>
      </c>
      <c r="W634" s="313" t="s">
        <v>4557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8"/>
      <c r="F635" s="468"/>
      <c r="G635" s="311"/>
      <c r="H635" s="444"/>
      <c r="I635" s="315"/>
      <c r="J635" s="316"/>
      <c r="K635" s="317"/>
      <c r="L635" s="318"/>
      <c r="M635" s="500"/>
      <c r="N635" s="500"/>
      <c r="O635" s="314"/>
      <c r="P635" s="317"/>
      <c r="Q635" s="315"/>
      <c r="R635" s="317"/>
      <c r="S635" s="317"/>
      <c r="T635" s="317"/>
      <c r="U635" s="500"/>
      <c r="V635" s="500"/>
      <c r="W635" s="314"/>
      <c r="X635" s="28"/>
      <c r="Y635" s="28"/>
      <c r="Z635" s="28"/>
    </row>
    <row r="636" spans="1:26" s="39" customFormat="1" ht="15.75">
      <c r="A636" s="319" t="s">
        <v>2212</v>
      </c>
      <c r="B636" s="444"/>
      <c r="C636" s="444"/>
      <c r="D636" s="445"/>
      <c r="E636" s="468"/>
      <c r="F636" s="468"/>
      <c r="G636" s="447" t="s">
        <v>150</v>
      </c>
      <c r="I636" s="319" t="s">
        <v>3536</v>
      </c>
      <c r="J636" s="445"/>
      <c r="K636" s="444"/>
      <c r="L636" s="318"/>
      <c r="M636" s="500"/>
      <c r="N636" s="500"/>
      <c r="O636" s="447" t="s">
        <v>150</v>
      </c>
      <c r="P636" s="444"/>
      <c r="Q636" s="319" t="s">
        <v>3537</v>
      </c>
      <c r="R636" s="444"/>
      <c r="S636" s="444"/>
      <c r="T636" s="444"/>
      <c r="U636" s="500"/>
      <c r="V636" s="500"/>
      <c r="W636" s="447" t="s">
        <v>150</v>
      </c>
    </row>
    <row r="637" spans="1:26" ht="15.75">
      <c r="A637" s="324" t="s">
        <v>4470</v>
      </c>
      <c r="B637" s="320"/>
      <c r="C637" s="320"/>
      <c r="D637" s="316"/>
      <c r="E637" s="468">
        <f>'Punten per wedstrijd'!I79*1.2</f>
        <v>445.8</v>
      </c>
      <c r="F637" s="468">
        <f>'Punten per wedstrijd'!I5</f>
        <v>321.5</v>
      </c>
      <c r="G637" s="313" t="s">
        <v>4555</v>
      </c>
      <c r="H637" s="320"/>
      <c r="I637" s="324" t="s">
        <v>4471</v>
      </c>
      <c r="J637" s="316"/>
      <c r="K637" s="317"/>
      <c r="L637" s="318"/>
      <c r="M637" s="468">
        <f>'Punten per wedstrijd'!J5*1.2</f>
        <v>480.11999999999995</v>
      </c>
      <c r="N637" s="468">
        <f>'Punten per wedstrijd'!J24</f>
        <v>532.20000000000005</v>
      </c>
      <c r="O637" s="313" t="s">
        <v>4554</v>
      </c>
      <c r="P637" s="320"/>
      <c r="Q637" s="324" t="s">
        <v>4472</v>
      </c>
      <c r="R637" s="317"/>
      <c r="S637" s="317"/>
      <c r="T637" s="317"/>
      <c r="U637" s="468">
        <f>'Punten per wedstrijd'!K94*1.2</f>
        <v>295.91999999999996</v>
      </c>
      <c r="V637" s="468">
        <f>'Punten per wedstrijd'!K5</f>
        <v>364.2</v>
      </c>
      <c r="W637" s="313" t="s">
        <v>4554</v>
      </c>
      <c r="X637" s="28"/>
      <c r="Y637" s="28"/>
      <c r="Z637" s="28"/>
    </row>
    <row r="638" spans="1:26" ht="15.75">
      <c r="A638" s="324" t="s">
        <v>4473</v>
      </c>
      <c r="B638" s="320"/>
      <c r="C638" s="320"/>
      <c r="D638" s="316"/>
      <c r="E638" s="468">
        <f>'Punten per wedstrijd'!I24*1.2</f>
        <v>474.59999999999997</v>
      </c>
      <c r="F638" s="468">
        <f>'Punten per wedstrijd'!I11</f>
        <v>116.00000000000001</v>
      </c>
      <c r="G638" s="313" t="s">
        <v>4555</v>
      </c>
      <c r="H638" s="320"/>
      <c r="I638" s="324" t="s">
        <v>4474</v>
      </c>
      <c r="J638" s="316"/>
      <c r="K638" s="317"/>
      <c r="L638" s="318"/>
      <c r="M638" s="468">
        <f>'Punten per wedstrijd'!J97*1.2</f>
        <v>567.6</v>
      </c>
      <c r="N638" s="468">
        <f>'Punten per wedstrijd'!J41</f>
        <v>551.20000000000005</v>
      </c>
      <c r="O638" s="313" t="s">
        <v>4557</v>
      </c>
      <c r="P638" s="320"/>
      <c r="Q638" s="324" t="s">
        <v>4475</v>
      </c>
      <c r="R638" s="317"/>
      <c r="S638" s="317"/>
      <c r="T638" s="317"/>
      <c r="U638" s="468">
        <f>'Punten per wedstrijd'!K41*1.2</f>
        <v>550.07999999999993</v>
      </c>
      <c r="V638" s="468">
        <f>'Punten per wedstrijd'!K11</f>
        <v>183.4</v>
      </c>
      <c r="W638" s="313" t="s">
        <v>4555</v>
      </c>
      <c r="X638" s="28"/>
      <c r="Y638" s="28"/>
      <c r="Z638" s="28"/>
    </row>
    <row r="639" spans="1:26" ht="15.75">
      <c r="A639" s="324" t="s">
        <v>4476</v>
      </c>
      <c r="B639" s="320"/>
      <c r="C639" s="320"/>
      <c r="D639" s="316"/>
      <c r="E639" s="468">
        <f>'Punten per wedstrijd'!I68*1.2</f>
        <v>217.43999999999997</v>
      </c>
      <c r="F639" s="468">
        <f>'Punten per wedstrijd'!I34</f>
        <v>353</v>
      </c>
      <c r="G639" s="313" t="s">
        <v>4556</v>
      </c>
      <c r="H639" s="320"/>
      <c r="I639" s="324" t="s">
        <v>4477</v>
      </c>
      <c r="J639" s="316"/>
      <c r="K639" s="317"/>
      <c r="L639" s="318"/>
      <c r="M639" s="468">
        <f>'Punten per wedstrijd'!J36*1.2</f>
        <v>531.71999999999991</v>
      </c>
      <c r="N639" s="468">
        <f>'Punten per wedstrijd'!J68</f>
        <v>429.8</v>
      </c>
      <c r="O639" s="313" t="s">
        <v>4557</v>
      </c>
      <c r="P639" s="320"/>
      <c r="Q639" s="324" t="s">
        <v>4478</v>
      </c>
      <c r="R639" s="317"/>
      <c r="S639" s="317"/>
      <c r="T639" s="317"/>
      <c r="U639" s="468">
        <f>'Punten per wedstrijd'!K24*1.2</f>
        <v>435.23999999999995</v>
      </c>
      <c r="V639" s="468">
        <f>'Punten per wedstrijd'!K34</f>
        <v>315.20000000000005</v>
      </c>
      <c r="W639" s="313" t="s">
        <v>4555</v>
      </c>
      <c r="X639" s="28"/>
      <c r="Y639" s="28"/>
      <c r="Z639" s="28"/>
    </row>
    <row r="640" spans="1:26" ht="15.75">
      <c r="A640" s="324" t="s">
        <v>4479</v>
      </c>
      <c r="B640" s="320"/>
      <c r="C640" s="320"/>
      <c r="D640" s="316"/>
      <c r="E640" s="468">
        <f>'Punten per wedstrijd'!I41*1.2</f>
        <v>502.92</v>
      </c>
      <c r="F640" s="468">
        <f>'Punten per wedstrijd'!I36</f>
        <v>222</v>
      </c>
      <c r="G640" s="313" t="s">
        <v>4555</v>
      </c>
      <c r="H640" s="320"/>
      <c r="I640" s="324" t="s">
        <v>4480</v>
      </c>
      <c r="J640" s="316"/>
      <c r="K640" s="317"/>
      <c r="L640" s="318"/>
      <c r="M640" s="468">
        <f>'Punten per wedstrijd'!J34*1.2</f>
        <v>525.72</v>
      </c>
      <c r="N640" s="468">
        <f>'Punten per wedstrijd'!J79</f>
        <v>345.1</v>
      </c>
      <c r="O640" s="313" t="s">
        <v>4555</v>
      </c>
      <c r="P640" s="320"/>
      <c r="Q640" s="324" t="s">
        <v>4481</v>
      </c>
      <c r="R640" s="317"/>
      <c r="S640" s="317"/>
      <c r="T640" s="317"/>
      <c r="U640" s="468">
        <f>'Punten per wedstrijd'!K68*1.2</f>
        <v>632.4</v>
      </c>
      <c r="V640" s="468">
        <f>'Punten per wedstrijd'!K79</f>
        <v>188.5</v>
      </c>
      <c r="W640" s="313" t="s">
        <v>4555</v>
      </c>
      <c r="X640" s="28"/>
      <c r="Y640" s="28"/>
      <c r="Z640" s="28"/>
    </row>
    <row r="641" spans="1:26" ht="15.75">
      <c r="A641" s="324" t="s">
        <v>4482</v>
      </c>
      <c r="B641" s="320"/>
      <c r="C641" s="320"/>
      <c r="D641" s="316"/>
      <c r="E641" s="468">
        <f>'Punten per wedstrijd'!I94*1.2</f>
        <v>253.2</v>
      </c>
      <c r="F641" s="468">
        <f>'Punten per wedstrijd'!I97</f>
        <v>399.9</v>
      </c>
      <c r="G641" s="313" t="s">
        <v>4556</v>
      </c>
      <c r="H641" s="320"/>
      <c r="I641" s="324" t="s">
        <v>4483</v>
      </c>
      <c r="J641" s="316"/>
      <c r="K641" s="317"/>
      <c r="L641" s="318"/>
      <c r="M641" s="468">
        <f>'Punten per wedstrijd'!J11*1.2</f>
        <v>758.45999999999992</v>
      </c>
      <c r="N641" s="468">
        <f>'Punten per wedstrijd'!J94</f>
        <v>526.9</v>
      </c>
      <c r="O641" s="313" t="s">
        <v>4555</v>
      </c>
      <c r="P641" s="320"/>
      <c r="Q641" s="324" t="s">
        <v>4484</v>
      </c>
      <c r="R641" s="317"/>
      <c r="S641" s="317"/>
      <c r="T641" s="317"/>
      <c r="U641" s="468">
        <f>'Punten per wedstrijd'!K36*1.2</f>
        <v>324.59999999999997</v>
      </c>
      <c r="V641" s="468">
        <f>'Punten per wedstrijd'!K97</f>
        <v>191.7</v>
      </c>
      <c r="W641" s="313" t="s">
        <v>4555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8"/>
      <c r="F642" s="468"/>
      <c r="G642" s="313"/>
      <c r="H642" s="320"/>
      <c r="I642" s="320"/>
      <c r="J642" s="316"/>
      <c r="K642" s="317"/>
      <c r="L642" s="318"/>
      <c r="M642" s="500"/>
      <c r="N642" s="500"/>
      <c r="O642" s="314"/>
      <c r="P642" s="320"/>
      <c r="Q642" s="316"/>
      <c r="R642" s="317"/>
      <c r="S642" s="317"/>
      <c r="T642" s="317"/>
      <c r="U642" s="500"/>
      <c r="V642" s="500"/>
      <c r="W642" s="314"/>
      <c r="X642" s="28"/>
      <c r="Y642" s="28"/>
      <c r="Z642" s="28"/>
    </row>
    <row r="643" spans="1:26" s="39" customFormat="1" ht="15.75">
      <c r="A643" s="319" t="s">
        <v>191</v>
      </c>
      <c r="B643" s="444"/>
      <c r="C643" s="444"/>
      <c r="D643" s="445"/>
      <c r="E643" s="468"/>
      <c r="F643" s="468"/>
      <c r="G643" s="447" t="s">
        <v>150</v>
      </c>
      <c r="H643" s="444"/>
      <c r="I643" s="319" t="s">
        <v>192</v>
      </c>
      <c r="J643" s="445"/>
      <c r="K643" s="444"/>
      <c r="L643" s="318"/>
      <c r="M643" s="500"/>
      <c r="N643" s="500"/>
      <c r="O643" s="447" t="s">
        <v>150</v>
      </c>
      <c r="P643" s="444"/>
      <c r="Q643" s="319" t="s">
        <v>195</v>
      </c>
      <c r="R643" s="444"/>
      <c r="S643" s="444"/>
      <c r="T643" s="444"/>
      <c r="U643" s="500"/>
      <c r="V643" s="500"/>
      <c r="W643" s="447" t="s">
        <v>150</v>
      </c>
    </row>
    <row r="644" spans="1:26" ht="15.75">
      <c r="A644" s="324" t="s">
        <v>4485</v>
      </c>
      <c r="B644" s="320"/>
      <c r="C644" s="320"/>
      <c r="D644" s="316"/>
      <c r="E644" s="468">
        <f>'Punten per wedstrijd'!L79*1.2</f>
        <v>209.64</v>
      </c>
      <c r="F644" s="468">
        <f>'Punten per wedstrijd'!L24</f>
        <v>336.1</v>
      </c>
      <c r="G644" s="313" t="s">
        <v>4556</v>
      </c>
      <c r="H644" s="320"/>
      <c r="I644" s="324" t="s">
        <v>5111</v>
      </c>
      <c r="J644" s="316"/>
      <c r="K644" s="317"/>
      <c r="L644" s="318"/>
      <c r="M644" s="468">
        <f>'Punten per wedstrijd'!M36*1.2</f>
        <v>756.00000000000216</v>
      </c>
      <c r="N644" s="468">
        <f>'Punten per wedstrijd'!M5</f>
        <v>444.29999999999927</v>
      </c>
      <c r="O644" s="313" t="s">
        <v>4555</v>
      </c>
      <c r="P644" s="320"/>
      <c r="Q644" s="324" t="s">
        <v>4486</v>
      </c>
      <c r="R644" s="317"/>
      <c r="S644" s="317"/>
      <c r="T644" s="317"/>
      <c r="U644" s="468"/>
      <c r="V644" s="468"/>
      <c r="W644" s="314"/>
      <c r="X644" s="28"/>
      <c r="Y644" s="28"/>
      <c r="Z644" s="28"/>
    </row>
    <row r="645" spans="1:26" ht="15.75">
      <c r="A645" s="324" t="s">
        <v>4487</v>
      </c>
      <c r="B645" s="320"/>
      <c r="C645" s="320"/>
      <c r="D645" s="316"/>
      <c r="E645" s="468">
        <f>'Punten per wedstrijd'!L11*1.2</f>
        <v>103.8</v>
      </c>
      <c r="F645" s="468">
        <f>'Punten per wedstrijd'!L36</f>
        <v>316.79999999999995</v>
      </c>
      <c r="G645" s="313" t="s">
        <v>4556</v>
      </c>
      <c r="H645" s="320"/>
      <c r="I645" s="324" t="s">
        <v>5112</v>
      </c>
      <c r="J645" s="316"/>
      <c r="K645" s="317"/>
      <c r="L645" s="318"/>
      <c r="M645" s="468">
        <f>'Punten per wedstrijd'!M97*1.2</f>
        <v>579</v>
      </c>
      <c r="N645" s="468">
        <f>'Punten per wedstrijd'!M11</f>
        <v>466.50000000000091</v>
      </c>
      <c r="O645" s="313" t="s">
        <v>4557</v>
      </c>
      <c r="P645" s="320"/>
      <c r="Q645" s="324" t="s">
        <v>4488</v>
      </c>
      <c r="R645" s="317"/>
      <c r="S645" s="317"/>
      <c r="T645" s="317"/>
      <c r="U645" s="468"/>
      <c r="V645" s="468"/>
      <c r="W645" s="314"/>
      <c r="X645" s="28"/>
      <c r="Y645" s="28"/>
      <c r="Z645" s="28"/>
    </row>
    <row r="646" spans="1:26" ht="15.75">
      <c r="A646" s="324" t="s">
        <v>4489</v>
      </c>
      <c r="B646" s="320"/>
      <c r="C646" s="320"/>
      <c r="D646" s="316"/>
      <c r="E646" s="468">
        <f>'Punten per wedstrijd'!L5*1.2</f>
        <v>413.03999999999996</v>
      </c>
      <c r="F646" s="468">
        <f>'Punten per wedstrijd'!L41</f>
        <v>516.29999999999995</v>
      </c>
      <c r="G646" s="313" t="s">
        <v>4554</v>
      </c>
      <c r="H646" s="320"/>
      <c r="I646" s="324" t="s">
        <v>5113</v>
      </c>
      <c r="J646" s="316"/>
      <c r="K646" s="317"/>
      <c r="L646" s="318"/>
      <c r="M646" s="468">
        <f>'Punten per wedstrijd'!M68*1.2</f>
        <v>600.59999999999889</v>
      </c>
      <c r="N646" s="468">
        <f>'Punten per wedstrijd'!M24</f>
        <v>484.600000000004</v>
      </c>
      <c r="O646" s="313" t="s">
        <v>4557</v>
      </c>
      <c r="P646" s="320"/>
      <c r="Q646" s="324" t="s">
        <v>4490</v>
      </c>
      <c r="R646" s="317"/>
      <c r="S646" s="317"/>
      <c r="T646" s="317"/>
      <c r="U646" s="468"/>
      <c r="V646" s="468"/>
      <c r="W646" s="313"/>
      <c r="X646" s="28"/>
      <c r="Y646" s="28"/>
      <c r="Z646" s="28"/>
    </row>
    <row r="647" spans="1:26" ht="15.75">
      <c r="A647" s="324" t="s">
        <v>4491</v>
      </c>
      <c r="B647" s="320"/>
      <c r="C647" s="320"/>
      <c r="D647" s="316"/>
      <c r="E647" s="468">
        <f>'Punten per wedstrijd'!L97*1.2</f>
        <v>217.2</v>
      </c>
      <c r="F647" s="468">
        <f>'Punten per wedstrijd'!L68</f>
        <v>314</v>
      </c>
      <c r="G647" s="313" t="s">
        <v>4556</v>
      </c>
      <c r="H647" s="320"/>
      <c r="I647" s="324" t="s">
        <v>5114</v>
      </c>
      <c r="J647" s="316"/>
      <c r="K647" s="317"/>
      <c r="L647" s="318"/>
      <c r="M647" s="468">
        <f>'Punten per wedstrijd'!M41*1.2</f>
        <v>799.08000000000175</v>
      </c>
      <c r="N647" s="468">
        <f>'Punten per wedstrijd'!M34</f>
        <v>467.70000000000164</v>
      </c>
      <c r="O647" s="313" t="s">
        <v>4555</v>
      </c>
      <c r="P647" s="320"/>
      <c r="Q647" s="324" t="s">
        <v>4492</v>
      </c>
      <c r="R647" s="317"/>
      <c r="S647" s="317"/>
      <c r="T647" s="317"/>
      <c r="U647" s="468"/>
      <c r="V647" s="468"/>
      <c r="W647" s="313"/>
      <c r="X647" s="28"/>
      <c r="Y647" s="28"/>
      <c r="Z647" s="28"/>
    </row>
    <row r="648" spans="1:26" ht="15.75">
      <c r="A648" s="324" t="s">
        <v>4493</v>
      </c>
      <c r="C648" s="320"/>
      <c r="D648" s="316"/>
      <c r="E648" s="468">
        <f>'Punten per wedstrijd'!L34*1.2</f>
        <v>248.16</v>
      </c>
      <c r="F648" s="468">
        <f>'Punten per wedstrijd'!L94</f>
        <v>141.6</v>
      </c>
      <c r="G648" s="313" t="s">
        <v>4555</v>
      </c>
      <c r="H648" s="320"/>
      <c r="I648" s="324" t="s">
        <v>5115</v>
      </c>
      <c r="J648" s="316"/>
      <c r="K648" s="317"/>
      <c r="L648" s="318"/>
      <c r="M648" s="468">
        <f>'Punten per wedstrijd'!M94*1.2</f>
        <v>594.00000000000216</v>
      </c>
      <c r="N648" s="468">
        <f>'Punten per wedstrijd'!M79</f>
        <v>265.5</v>
      </c>
      <c r="O648" s="313" t="s">
        <v>4555</v>
      </c>
      <c r="P648" s="320"/>
      <c r="Q648" s="324" t="s">
        <v>4494</v>
      </c>
      <c r="R648" s="317"/>
      <c r="S648" s="317"/>
      <c r="T648" s="317"/>
      <c r="U648" s="468"/>
      <c r="V648" s="468"/>
      <c r="W648" s="313"/>
      <c r="X648" s="28"/>
      <c r="Y648" s="28"/>
      <c r="Z648" s="28"/>
    </row>
    <row r="649" spans="1:26" ht="15.75">
      <c r="A649" s="323"/>
      <c r="B649" s="320"/>
      <c r="C649" s="320"/>
      <c r="D649" s="316"/>
      <c r="E649" s="468"/>
      <c r="F649" s="468"/>
      <c r="G649" s="311"/>
      <c r="H649" s="320"/>
      <c r="I649" s="316"/>
      <c r="J649" s="316"/>
      <c r="K649" s="317"/>
      <c r="L649" s="318"/>
      <c r="M649" s="500"/>
      <c r="N649" s="500"/>
      <c r="O649" s="314"/>
      <c r="P649" s="320"/>
      <c r="Q649" s="317"/>
      <c r="R649" s="317"/>
      <c r="S649" s="317"/>
      <c r="T649" s="317"/>
      <c r="U649" s="500"/>
      <c r="V649" s="500"/>
      <c r="W649" s="314"/>
      <c r="X649" s="28"/>
      <c r="Y649" s="28"/>
      <c r="Z649" s="28"/>
    </row>
    <row r="650" spans="1:26" s="39" customFormat="1" ht="15.75">
      <c r="A650" s="319" t="s">
        <v>193</v>
      </c>
      <c r="B650" s="444"/>
      <c r="C650" s="444"/>
      <c r="D650" s="445"/>
      <c r="E650" s="468"/>
      <c r="F650" s="468"/>
      <c r="G650" s="447" t="s">
        <v>150</v>
      </c>
      <c r="H650" s="444"/>
      <c r="I650" s="319" t="s">
        <v>194</v>
      </c>
      <c r="J650" s="445"/>
      <c r="K650" s="444"/>
      <c r="L650" s="318"/>
      <c r="M650" s="500"/>
      <c r="N650" s="500"/>
      <c r="O650" s="447" t="s">
        <v>150</v>
      </c>
      <c r="P650" s="444"/>
      <c r="Q650" s="319" t="s">
        <v>176</v>
      </c>
      <c r="R650" s="444"/>
      <c r="S650" s="444"/>
      <c r="T650" s="444"/>
      <c r="U650" s="500"/>
      <c r="V650" s="500"/>
      <c r="W650" s="447" t="s">
        <v>150</v>
      </c>
    </row>
    <row r="651" spans="1:26" ht="15.75">
      <c r="A651" s="324" t="s">
        <v>4495</v>
      </c>
      <c r="B651" s="320"/>
      <c r="C651" s="320"/>
      <c r="D651" s="316"/>
      <c r="E651" s="468"/>
      <c r="F651" s="468"/>
      <c r="G651" s="313"/>
      <c r="H651" s="320"/>
      <c r="I651" s="324" t="s">
        <v>4496</v>
      </c>
      <c r="J651" s="316"/>
      <c r="K651" s="317"/>
      <c r="L651" s="318"/>
      <c r="M651" s="468"/>
      <c r="N651" s="468"/>
      <c r="O651" s="314"/>
      <c r="P651" s="320"/>
      <c r="Q651" s="324" t="s">
        <v>4497</v>
      </c>
      <c r="R651" s="317"/>
      <c r="S651" s="317"/>
      <c r="T651" s="317"/>
      <c r="U651" s="468"/>
      <c r="V651" s="468"/>
      <c r="W651" s="314"/>
      <c r="X651" s="28"/>
      <c r="Y651" s="28"/>
      <c r="Z651" s="28"/>
    </row>
    <row r="652" spans="1:26" ht="15.75">
      <c r="A652" s="324" t="s">
        <v>4498</v>
      </c>
      <c r="B652" s="320"/>
      <c r="C652" s="320"/>
      <c r="D652" s="316"/>
      <c r="E652" s="468"/>
      <c r="F652" s="468"/>
      <c r="G652" s="314"/>
      <c r="H652" s="320"/>
      <c r="I652" s="324" t="s">
        <v>4499</v>
      </c>
      <c r="J652" s="316"/>
      <c r="K652" s="317"/>
      <c r="L652" s="318"/>
      <c r="M652" s="468"/>
      <c r="N652" s="468"/>
      <c r="O652" s="314"/>
      <c r="P652" s="320"/>
      <c r="Q652" s="324" t="s">
        <v>4500</v>
      </c>
      <c r="R652" s="317"/>
      <c r="S652" s="317"/>
      <c r="T652" s="317"/>
      <c r="U652" s="468"/>
      <c r="V652" s="468"/>
      <c r="W652" s="313"/>
      <c r="X652" s="28"/>
      <c r="Y652" s="28"/>
      <c r="Z652" s="28"/>
    </row>
    <row r="653" spans="1:26" ht="15.75">
      <c r="A653" s="324" t="s">
        <v>4501</v>
      </c>
      <c r="B653" s="320"/>
      <c r="C653" s="320"/>
      <c r="D653" s="316"/>
      <c r="E653" s="468"/>
      <c r="F653" s="468"/>
      <c r="G653" s="313"/>
      <c r="H653" s="320"/>
      <c r="I653" s="324" t="s">
        <v>4502</v>
      </c>
      <c r="J653" s="316"/>
      <c r="K653" s="317"/>
      <c r="L653" s="318"/>
      <c r="M653" s="468"/>
      <c r="N653" s="468"/>
      <c r="O653" s="314"/>
      <c r="P653" s="320"/>
      <c r="Q653" s="324" t="s">
        <v>4503</v>
      </c>
      <c r="R653" s="317"/>
      <c r="S653" s="317"/>
      <c r="T653" s="317"/>
      <c r="U653" s="468"/>
      <c r="V653" s="468"/>
      <c r="W653" s="314"/>
      <c r="X653" s="28"/>
      <c r="Y653" s="28"/>
      <c r="Z653" s="28"/>
    </row>
    <row r="654" spans="1:26" ht="15.75">
      <c r="A654" s="324" t="s">
        <v>4504</v>
      </c>
      <c r="B654" s="320"/>
      <c r="C654" s="320"/>
      <c r="D654" s="316"/>
      <c r="E654" s="468"/>
      <c r="F654" s="468"/>
      <c r="G654" s="313"/>
      <c r="H654" s="320"/>
      <c r="I654" s="324" t="s">
        <v>4505</v>
      </c>
      <c r="J654" s="316"/>
      <c r="K654" s="317"/>
      <c r="L654" s="318"/>
      <c r="M654" s="468"/>
      <c r="N654" s="468"/>
      <c r="O654" s="313"/>
      <c r="P654" s="320"/>
      <c r="Q654" s="324" t="s">
        <v>4506</v>
      </c>
      <c r="R654" s="317"/>
      <c r="S654" s="317"/>
      <c r="T654" s="317"/>
      <c r="U654" s="468"/>
      <c r="V654" s="468"/>
      <c r="W654" s="314"/>
      <c r="X654" s="28"/>
      <c r="Y654" s="28"/>
      <c r="Z654" s="28"/>
    </row>
    <row r="655" spans="1:26" ht="15.75">
      <c r="A655" s="324" t="s">
        <v>4507</v>
      </c>
      <c r="B655" s="320"/>
      <c r="C655" s="320"/>
      <c r="D655" s="316"/>
      <c r="E655" s="468"/>
      <c r="F655" s="468"/>
      <c r="G655" s="314"/>
      <c r="H655" s="316"/>
      <c r="I655" s="324" t="s">
        <v>4508</v>
      </c>
      <c r="J655" s="316"/>
      <c r="K655" s="317"/>
      <c r="L655" s="318"/>
      <c r="M655" s="468"/>
      <c r="N655" s="468"/>
      <c r="O655" s="313"/>
      <c r="P655" s="317"/>
      <c r="Q655" s="324" t="s">
        <v>4509</v>
      </c>
      <c r="R655" s="317"/>
      <c r="S655" s="317"/>
      <c r="T655" s="317"/>
      <c r="U655" s="468"/>
      <c r="V655" s="468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3463</v>
      </c>
      <c r="E658" s="435" t="s">
        <v>3464</v>
      </c>
      <c r="F658" s="435" t="s">
        <v>843</v>
      </c>
      <c r="G658" s="435" t="s">
        <v>2528</v>
      </c>
      <c r="H658" s="435" t="s">
        <v>2197</v>
      </c>
      <c r="I658" s="435" t="s">
        <v>2199</v>
      </c>
      <c r="J658" s="435" t="s">
        <v>2198</v>
      </c>
      <c r="K658" s="435" t="s">
        <v>2200</v>
      </c>
      <c r="L658" s="435" t="s">
        <v>2201</v>
      </c>
      <c r="M658" s="435" t="s">
        <v>2202</v>
      </c>
      <c r="N658" s="435" t="s">
        <v>2203</v>
      </c>
      <c r="O658" s="435" t="s">
        <v>2204</v>
      </c>
      <c r="P658" s="435" t="s">
        <v>2205</v>
      </c>
      <c r="Q658" s="435" t="s">
        <v>2206</v>
      </c>
      <c r="R658" s="435" t="s">
        <v>2207</v>
      </c>
      <c r="S658" s="435" t="s">
        <v>2184</v>
      </c>
      <c r="T658" s="435" t="s">
        <v>2208</v>
      </c>
      <c r="U658" s="435" t="s">
        <v>2209</v>
      </c>
      <c r="V658" s="202" t="s">
        <v>40</v>
      </c>
      <c r="W658" s="28"/>
      <c r="X658" s="28"/>
      <c r="Y658" s="28"/>
      <c r="Z658" s="28"/>
    </row>
    <row r="659" spans="1:26" ht="15.75">
      <c r="A659" s="28" t="s">
        <v>2283</v>
      </c>
      <c r="D659" s="50">
        <v>3</v>
      </c>
      <c r="E659" s="50">
        <v>3</v>
      </c>
      <c r="F659" s="50">
        <v>1</v>
      </c>
      <c r="G659" s="50">
        <v>3</v>
      </c>
      <c r="H659" s="50">
        <v>2</v>
      </c>
      <c r="I659" s="50">
        <v>2</v>
      </c>
      <c r="J659" s="50">
        <v>0</v>
      </c>
      <c r="K659" s="50">
        <v>3</v>
      </c>
      <c r="L659" s="50">
        <v>1</v>
      </c>
      <c r="M659" s="50">
        <v>3</v>
      </c>
      <c r="N659" s="50">
        <v>1</v>
      </c>
      <c r="O659" s="50">
        <v>3</v>
      </c>
      <c r="P659" s="50">
        <v>2</v>
      </c>
      <c r="Q659" s="50">
        <v>3</v>
      </c>
      <c r="R659" s="50"/>
      <c r="S659" s="50"/>
      <c r="T659" s="50"/>
      <c r="U659" s="50"/>
      <c r="V659" s="303">
        <f>SUM(D659:U659)</f>
        <v>30</v>
      </c>
      <c r="W659" s="503">
        <f>SUM($F$619,$M$617,$V$617,$E$625,$N$626,$U$624,$F$631,$M$633,$V$632,$E$640,$N$638,$U$638,$F$646,$M$647,$V$645,$E$652,$N$654,$U$653)</f>
        <v>7876.5200000000068</v>
      </c>
      <c r="X659" s="50" t="s">
        <v>110</v>
      </c>
      <c r="Y659" s="28"/>
      <c r="Z659" s="28"/>
    </row>
    <row r="660" spans="1:26" ht="15.75">
      <c r="A660" s="63" t="s">
        <v>3621</v>
      </c>
      <c r="D660" s="50">
        <v>0</v>
      </c>
      <c r="E660" s="50">
        <v>3</v>
      </c>
      <c r="F660" s="50">
        <v>1</v>
      </c>
      <c r="G660" s="50">
        <v>3</v>
      </c>
      <c r="H660" s="50">
        <v>3</v>
      </c>
      <c r="I660" s="50">
        <v>0</v>
      </c>
      <c r="J660" s="50">
        <v>3</v>
      </c>
      <c r="K660" s="50">
        <v>1</v>
      </c>
      <c r="L660" s="50">
        <v>3</v>
      </c>
      <c r="M660" s="50">
        <v>3</v>
      </c>
      <c r="N660" s="50">
        <v>2</v>
      </c>
      <c r="O660" s="50">
        <v>3</v>
      </c>
      <c r="P660" s="50">
        <v>3</v>
      </c>
      <c r="Q660" s="50">
        <v>1</v>
      </c>
      <c r="R660" s="50"/>
      <c r="S660" s="50"/>
      <c r="T660" s="50"/>
      <c r="U660" s="50"/>
      <c r="V660" s="303">
        <f>SUM(D660:U660)</f>
        <v>29</v>
      </c>
      <c r="W660" s="503">
        <f>SUM($F$617,$M$616,$V$618,$E$623,$M$625,$V$626,$E$631,$N$632,$U$630,$E$638,$N$637,$U$639,$F$644,$N$646,$U$647,$F$652,$M$653,$V$651)</f>
        <v>8086.2400000000025</v>
      </c>
      <c r="X660" s="50" t="s">
        <v>111</v>
      </c>
      <c r="Y660" s="28"/>
      <c r="Z660" s="28"/>
    </row>
    <row r="661" spans="1:26" ht="15.75">
      <c r="A661" s="28" t="s">
        <v>2300</v>
      </c>
      <c r="D661" s="50">
        <v>3</v>
      </c>
      <c r="E661" s="50">
        <v>0</v>
      </c>
      <c r="F661" s="50">
        <v>2</v>
      </c>
      <c r="G661" s="50">
        <v>3</v>
      </c>
      <c r="H661" s="50">
        <v>3</v>
      </c>
      <c r="I661" s="50">
        <v>3</v>
      </c>
      <c r="J661" s="50">
        <v>3</v>
      </c>
      <c r="K661" s="50">
        <v>0</v>
      </c>
      <c r="L661" s="50">
        <v>2</v>
      </c>
      <c r="M661" s="50">
        <v>0</v>
      </c>
      <c r="N661" s="50">
        <v>0</v>
      </c>
      <c r="O661" s="50">
        <v>1</v>
      </c>
      <c r="P661" s="50">
        <v>0</v>
      </c>
      <c r="Q661" s="50">
        <v>3</v>
      </c>
      <c r="R661" s="50"/>
      <c r="S661" s="50"/>
      <c r="T661" s="50"/>
      <c r="U661" s="50"/>
      <c r="V661" s="303">
        <f>SUM(D661:U661)</f>
        <v>23</v>
      </c>
      <c r="W661" s="503">
        <f>SUM($F$620,$M$620,$V$616,$E$627,$N$627,$U$626,$E$634,$N$633,$U$634,$E$641,$N$641,$U$637,$F$648,$M$648,$V$647,$F$655,$M$654,$V$655)</f>
        <v>7868.0600000000077</v>
      </c>
      <c r="X661" s="50" t="s">
        <v>112</v>
      </c>
      <c r="Y661" s="28"/>
      <c r="Z661" s="28"/>
    </row>
    <row r="662" spans="1:26" ht="15.75">
      <c r="A662" s="412" t="s">
        <v>3501</v>
      </c>
      <c r="B662" s="327"/>
      <c r="C662" s="327"/>
      <c r="D662" s="330">
        <v>3</v>
      </c>
      <c r="E662" s="330">
        <v>0</v>
      </c>
      <c r="F662" s="330">
        <v>2</v>
      </c>
      <c r="G662" s="330">
        <v>0</v>
      </c>
      <c r="H662" s="330">
        <v>1</v>
      </c>
      <c r="I662" s="330">
        <v>1</v>
      </c>
      <c r="J662" s="330">
        <v>3</v>
      </c>
      <c r="K662" s="330">
        <v>0</v>
      </c>
      <c r="L662" s="330">
        <v>3</v>
      </c>
      <c r="M662" s="330">
        <v>3</v>
      </c>
      <c r="N662" s="330">
        <v>3</v>
      </c>
      <c r="O662" s="330">
        <v>0</v>
      </c>
      <c r="P662" s="330">
        <v>3</v>
      </c>
      <c r="Q662" s="330">
        <v>0</v>
      </c>
      <c r="R662" s="330"/>
      <c r="S662" s="330"/>
      <c r="T662" s="330"/>
      <c r="U662" s="330"/>
      <c r="V662" s="329">
        <f>SUM(D662:U662)</f>
        <v>22</v>
      </c>
      <c r="W662" s="504">
        <f>SUM($E$618,$N$619,$U$618,$F$627,$M$626,$V$623,$E$632,$N$631,$U$631,$F$639,$M$640,$V$639,$E$648,$N$647,$U$644,$F$653,$M$652,$V$652)</f>
        <v>7588.2200000000021</v>
      </c>
      <c r="X662" s="50" t="s">
        <v>113</v>
      </c>
      <c r="Y662" s="28"/>
      <c r="Z662" s="28"/>
    </row>
    <row r="663" spans="1:26" ht="15.75">
      <c r="A663" s="28" t="s">
        <v>2250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/>
      <c r="S663" s="50"/>
      <c r="T663" s="50"/>
      <c r="U663" s="50"/>
      <c r="V663" s="303">
        <f>SUM(D663:U663)</f>
        <v>22</v>
      </c>
      <c r="W663" s="503">
        <f>SUM($E$619,$N$618,$V$620,$E$624,$N$623,$U$623,$F$633,$M$632,$V$634,$F$640,$M$639,$U$641,$F$645,$M$644,$V$644,$E$654,$N$653,$U$655)</f>
        <v>6693.1400000000049</v>
      </c>
      <c r="X663" s="28"/>
      <c r="Y663" s="28"/>
      <c r="Z663" s="28"/>
    </row>
    <row r="664" spans="1:26" ht="15.75">
      <c r="A664" s="28" t="s">
        <v>2267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/>
      <c r="S664" s="50"/>
      <c r="T664" s="50"/>
      <c r="U664" s="50"/>
      <c r="V664" s="303">
        <f>SUM(D664:U664)</f>
        <v>21</v>
      </c>
      <c r="W664" s="503">
        <f>SUM($F$618,$M$618,$V$619,$E$626,$N$625,$U$625,$F$634,$N$630,$U$632,$E$639,$N$639,$U$640,$F$647,$M$646,$V$646,$E$655,$M$651,$V$653)</f>
        <v>6689.3199999999988</v>
      </c>
      <c r="X664" s="28"/>
      <c r="Y664" s="28"/>
      <c r="Z664" s="28"/>
    </row>
    <row r="665" spans="1:26" ht="15.75">
      <c r="A665" s="63" t="s">
        <v>3620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/>
      <c r="S665" s="50"/>
      <c r="T665" s="50"/>
      <c r="U665" s="50"/>
      <c r="V665" s="303">
        <f>SUM(D665:U665)</f>
        <v>20</v>
      </c>
      <c r="W665" s="503">
        <f>SUM($E$617,$N$620,$U$617,$F$624,$M$624,$V$625,$F$630,$M$631,$V$633,$F$638,$M$641,$V$638,$E$645,$N$645,$U$646,$E$651,$N$652,$U$654)</f>
        <v>6413.7600000000039</v>
      </c>
      <c r="X665" s="28"/>
      <c r="Y665" s="28"/>
      <c r="Z665" s="28"/>
    </row>
    <row r="666" spans="1:26" ht="15.75">
      <c r="A666" s="28" t="s">
        <v>2261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/>
      <c r="S666" s="50"/>
      <c r="T666" s="50"/>
      <c r="U666" s="50"/>
      <c r="V666" s="303">
        <f>SUM(D666:U666)</f>
        <v>19</v>
      </c>
      <c r="W666" s="503">
        <f>SUM($F$616,$M$619,$U$619,$F$623,$M$627,$V$624,$E$633,$N$634,$U$633,$E$637,$N$640,$V$640,$E$644,$N$648,$U$645,$F$654,$M$655,$V$654)</f>
        <v>7041.99</v>
      </c>
      <c r="X666" s="28"/>
    </row>
    <row r="667" spans="1:26" ht="15.75">
      <c r="A667" s="278" t="s">
        <v>2275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/>
      <c r="S667" s="50"/>
      <c r="T667" s="50"/>
      <c r="U667" s="50"/>
      <c r="V667" s="303">
        <f>SUM(D667:U667)</f>
        <v>17</v>
      </c>
      <c r="W667" s="503">
        <f>SUM($E$620,$N$617,$U$620,$F$626,$N$624,$U$627,$F$632,$M$634,$V$630,$F$641,$M$638,$V$641,$E$647,$M$645,$V$648,$E$653,$N$655,$U$651)</f>
        <v>6716.8200000000015</v>
      </c>
      <c r="X667" s="28"/>
    </row>
    <row r="668" spans="1:26" ht="15.75">
      <c r="A668" s="334" t="s">
        <v>3619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/>
      <c r="S668" s="50"/>
      <c r="T668" s="50"/>
      <c r="U668" s="50"/>
      <c r="V668" s="303">
        <f>SUM(D668:U668)</f>
        <v>7</v>
      </c>
      <c r="W668" s="503">
        <f>SUM($E$616,$N$616,$U$616,$F$625,$M$623,$V$627,$E$630,$M$630,$V$631,$F$637,$M$637,$V$637,$E$646,$N$644,$U$648,$F$651,$N$651,$U$652)</f>
        <v>5919.1000000000013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9">
        <f>SUM(W659:W668)</f>
        <v>70893.170000000027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38"/>
      <c r="F676" s="439"/>
      <c r="G676" s="439"/>
      <c r="H676" s="439"/>
      <c r="I676" s="439"/>
      <c r="J676" s="439"/>
      <c r="L676" s="202"/>
      <c r="R676" s="438"/>
      <c r="W676" s="439"/>
      <c r="X676" s="439"/>
      <c r="Y676" s="439"/>
      <c r="AA676" s="202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3"/>
      <c r="F679" s="223"/>
      <c r="H679" s="223"/>
      <c r="I679" s="223"/>
      <c r="J679" s="223"/>
      <c r="L679" s="100"/>
      <c r="M679" s="221"/>
      <c r="R679" s="1"/>
      <c r="S679" s="363"/>
      <c r="W679" s="301"/>
      <c r="X679" s="301"/>
      <c r="Y679" s="301"/>
      <c r="AA679" s="303"/>
      <c r="AB679" s="137"/>
    </row>
    <row r="680" spans="1:28" ht="15.75" customHeight="1">
      <c r="A680" s="1"/>
      <c r="B680" s="338"/>
      <c r="L680" s="100"/>
      <c r="M680" s="221"/>
      <c r="R680" s="1"/>
      <c r="S680" s="440"/>
      <c r="W680" s="28"/>
      <c r="X680" s="28"/>
      <c r="Y680" s="28"/>
      <c r="AA680" s="303"/>
      <c r="AB680" s="137"/>
    </row>
    <row r="681" spans="1:28" ht="15.75" customHeight="1">
      <c r="A681" s="1"/>
      <c r="B681" s="363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8"/>
      <c r="L682" s="100"/>
      <c r="M682" s="221"/>
      <c r="R682" s="1"/>
      <c r="S682" s="441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3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8"/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A686" s="1"/>
      <c r="B686" s="363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1"/>
      <c r="B687" s="338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3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8"/>
      <c r="L690" s="100"/>
      <c r="M690" s="221"/>
      <c r="R690" s="1"/>
      <c r="S690" s="441"/>
      <c r="W690" s="28"/>
      <c r="X690" s="28"/>
      <c r="Y690" s="28"/>
      <c r="AA690" s="303"/>
      <c r="AB690" s="137"/>
    </row>
    <row r="691" spans="1:28" ht="15.75" customHeight="1">
      <c r="A691" s="1"/>
      <c r="B691" s="443"/>
      <c r="H691" s="223"/>
      <c r="I691" s="223"/>
      <c r="J691" s="223"/>
      <c r="L691" s="100"/>
      <c r="M691" s="221"/>
      <c r="R691" s="1"/>
      <c r="S691" s="363"/>
      <c r="W691" s="301"/>
      <c r="X691" s="301"/>
      <c r="Y691" s="301"/>
      <c r="AA691" s="303"/>
      <c r="AB691" s="137"/>
    </row>
    <row r="692" spans="1:28" ht="15.75" customHeight="1">
      <c r="A692" s="1"/>
      <c r="B692" s="338"/>
      <c r="L692" s="100"/>
      <c r="M692" s="221"/>
      <c r="R692" s="1"/>
      <c r="S692" s="440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3"/>
      <c r="I694" s="223"/>
      <c r="L694" s="100"/>
      <c r="M694" s="221"/>
      <c r="R694" s="1"/>
      <c r="S694" s="363"/>
      <c r="W694" s="301"/>
      <c r="X694" s="301"/>
      <c r="Y694" s="301"/>
      <c r="AA694" s="303"/>
      <c r="AB694" s="137"/>
    </row>
    <row r="695" spans="1:28" ht="15.75" customHeight="1">
      <c r="A695" s="1"/>
      <c r="B695" s="338"/>
      <c r="L695" s="100"/>
      <c r="M695" s="221"/>
      <c r="R695" s="1"/>
      <c r="S695" s="440"/>
      <c r="W695" s="28"/>
      <c r="X695" s="28"/>
      <c r="Y695" s="28"/>
      <c r="AA695" s="303"/>
      <c r="AB695" s="137"/>
    </row>
    <row r="696" spans="1:28" ht="15.75" customHeight="1">
      <c r="A696" s="1"/>
      <c r="B696" s="443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8"/>
      <c r="L697" s="100"/>
      <c r="M697" s="221"/>
      <c r="R697" s="1"/>
      <c r="S697" s="441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3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8"/>
      <c r="L700" s="100"/>
      <c r="M700" s="221"/>
      <c r="R700" s="1"/>
      <c r="S700" s="441"/>
      <c r="W700" s="28"/>
      <c r="X700" s="28"/>
      <c r="Y700" s="28"/>
      <c r="AA700" s="303"/>
      <c r="AB700" s="137"/>
    </row>
    <row r="701" spans="1:28" ht="15.75" customHeight="1">
      <c r="A701" s="1"/>
      <c r="B701" s="443"/>
      <c r="F701" s="223"/>
      <c r="G701" s="223"/>
      <c r="H701" s="223"/>
      <c r="I701" s="223"/>
      <c r="J701" s="223"/>
      <c r="L701" s="100"/>
      <c r="M701" s="221"/>
      <c r="R701" s="1"/>
      <c r="S701" s="363"/>
      <c r="W701" s="301"/>
      <c r="X701" s="301"/>
      <c r="Y701" s="301"/>
      <c r="AA701" s="303"/>
      <c r="AB701" s="137"/>
    </row>
    <row r="702" spans="1:28" ht="15.75" customHeight="1">
      <c r="A702" s="1"/>
      <c r="B702" s="338"/>
      <c r="L702" s="100"/>
      <c r="M702" s="221"/>
      <c r="R702" s="1"/>
      <c r="S702" s="440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3"/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1"/>
      <c r="B705" s="338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1"/>
      <c r="B706" s="443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8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3"/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A710" s="1"/>
      <c r="B710" s="338"/>
      <c r="L710" s="100"/>
      <c r="M710" s="221"/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"/>
      <c r="B711" s="363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8"/>
      <c r="L712" s="100"/>
      <c r="M712" s="221"/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3"/>
      <c r="F714" s="223"/>
      <c r="G714" s="223"/>
      <c r="I714" s="223"/>
      <c r="J714" s="223"/>
      <c r="L714" s="100"/>
      <c r="M714" s="221"/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"/>
      <c r="B715" s="338"/>
      <c r="L715" s="100"/>
      <c r="M715" s="221"/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3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8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A719" s="1"/>
      <c r="B719" s="363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8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3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8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3"/>
      <c r="G724" s="223"/>
      <c r="H724" s="223"/>
      <c r="I724" s="223"/>
      <c r="J724" s="223"/>
      <c r="L724" s="100"/>
      <c r="M724" s="221"/>
      <c r="R724" s="442"/>
      <c r="W724" s="439"/>
      <c r="X724" s="439"/>
      <c r="Y724" s="439"/>
    </row>
    <row r="725" spans="1:28" ht="15.75" customHeight="1">
      <c r="A725" s="1"/>
      <c r="B725" s="338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3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8"/>
      <c r="L727" s="100"/>
      <c r="M727" s="221"/>
      <c r="R727" s="1"/>
      <c r="S727" s="441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3"/>
      <c r="W728" s="69"/>
      <c r="X728" s="69"/>
      <c r="Y728" s="69"/>
      <c r="AA728" s="303"/>
    </row>
    <row r="729" spans="1:28" ht="15.75" customHeight="1">
      <c r="A729" s="1"/>
      <c r="B729" s="363"/>
      <c r="G729" s="223"/>
      <c r="I729" s="223"/>
      <c r="L729" s="100"/>
      <c r="M729" s="221"/>
      <c r="R729" s="1"/>
      <c r="S729" s="440"/>
      <c r="AA729" s="137"/>
    </row>
    <row r="730" spans="1:28" ht="15.75" customHeight="1">
      <c r="A730" s="1"/>
      <c r="B730" s="338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3"/>
      <c r="F731" s="223"/>
      <c r="H731" s="223"/>
      <c r="J731" s="223"/>
      <c r="L731" s="100"/>
      <c r="M731" s="221"/>
      <c r="R731" s="1"/>
      <c r="S731" s="363"/>
      <c r="W731" s="69"/>
      <c r="X731" s="69"/>
      <c r="Y731" s="69"/>
      <c r="AA731" s="303"/>
      <c r="AB731" s="137"/>
    </row>
    <row r="732" spans="1:28" ht="15.75" customHeight="1">
      <c r="A732" s="1"/>
      <c r="B732" s="338"/>
      <c r="L732" s="100"/>
      <c r="M732" s="221"/>
      <c r="R732" s="1"/>
      <c r="S732" s="440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3"/>
      <c r="G734" s="223"/>
      <c r="H734" s="223"/>
      <c r="J734" s="223"/>
      <c r="L734" s="100"/>
      <c r="M734" s="221"/>
      <c r="R734" s="1"/>
      <c r="S734" s="441"/>
      <c r="AA734" s="137"/>
    </row>
    <row r="735" spans="1:28" ht="15.75" customHeight="1">
      <c r="A735" s="1"/>
      <c r="B735" s="338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3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8"/>
      <c r="L737" s="100"/>
      <c r="M737" s="221"/>
      <c r="R737" s="1"/>
      <c r="S737" s="441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3"/>
      <c r="W738" s="69"/>
      <c r="X738" s="69"/>
      <c r="Y738" s="69"/>
      <c r="AA738" s="303"/>
    </row>
    <row r="739" spans="1:28" ht="15.75" customHeight="1">
      <c r="A739" s="1"/>
      <c r="B739" s="363"/>
      <c r="G739" s="223"/>
      <c r="L739" s="100"/>
      <c r="M739" s="221"/>
      <c r="R739" s="1"/>
      <c r="S739" s="440"/>
      <c r="AA739" s="137"/>
    </row>
    <row r="740" spans="1:28" ht="15.75" customHeight="1">
      <c r="A740" s="1"/>
      <c r="B740" s="338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3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8"/>
      <c r="L742" s="100"/>
      <c r="M742" s="221"/>
      <c r="R742" s="1"/>
      <c r="S742" s="441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3"/>
      <c r="W743" s="69"/>
      <c r="X743" s="69"/>
      <c r="Y743" s="69"/>
      <c r="AA743" s="303"/>
    </row>
    <row r="744" spans="1:28" ht="15.75" customHeight="1">
      <c r="A744" s="1"/>
      <c r="B744" s="443"/>
      <c r="F744" s="223"/>
      <c r="G744" s="223"/>
      <c r="H744" s="223"/>
      <c r="L744" s="100"/>
      <c r="M744" s="221"/>
      <c r="R744" s="1"/>
      <c r="S744" s="440"/>
      <c r="AA744" s="137"/>
    </row>
    <row r="745" spans="1:28" ht="15.75" customHeight="1">
      <c r="A745" s="1"/>
      <c r="B745" s="338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3"/>
      <c r="I746" s="223"/>
      <c r="J746" s="223"/>
      <c r="L746" s="100"/>
      <c r="M746" s="221"/>
    </row>
    <row r="747" spans="1:28" ht="15.75" customHeight="1">
      <c r="A747" s="1"/>
      <c r="B747" s="338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3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8"/>
      <c r="L750" s="100"/>
      <c r="M750" s="22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3"/>
      <c r="G754" s="223"/>
      <c r="H754" s="223"/>
      <c r="J754" s="223"/>
      <c r="L754" s="100"/>
      <c r="M754" s="221"/>
      <c r="R754" s="1"/>
      <c r="S754" s="441"/>
      <c r="AA754" s="303"/>
    </row>
    <row r="755" spans="1:28" ht="15.75" customHeight="1">
      <c r="A755" s="1"/>
      <c r="B755" s="338"/>
      <c r="L755" s="100"/>
      <c r="M755" s="221"/>
      <c r="R755" s="1"/>
      <c r="S755" s="363"/>
      <c r="W755" s="69"/>
      <c r="X755" s="69"/>
      <c r="Y755" s="69"/>
      <c r="AA755" s="303"/>
    </row>
    <row r="756" spans="1:28" ht="15.75" customHeight="1">
      <c r="A756" s="1"/>
      <c r="B756" s="363"/>
      <c r="F756" s="223"/>
      <c r="L756" s="100"/>
      <c r="M756" s="221"/>
      <c r="R756" s="1"/>
      <c r="S756" s="440"/>
      <c r="AA756" s="137"/>
    </row>
    <row r="757" spans="1:28" ht="15.75">
      <c r="B757" s="338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3"/>
      <c r="W758" s="69"/>
      <c r="X758" s="69"/>
      <c r="Y758" s="69"/>
      <c r="AA758" s="303"/>
      <c r="AB758" s="137"/>
    </row>
    <row r="759" spans="1:28" ht="15.75">
      <c r="M759" s="221"/>
      <c r="R759" s="1"/>
      <c r="S759" s="440"/>
      <c r="AA759" s="303"/>
    </row>
    <row r="760" spans="1:28" ht="15.75">
      <c r="M760" s="221"/>
      <c r="R760" s="1"/>
      <c r="S760" s="440"/>
      <c r="AA760" s="303"/>
    </row>
    <row r="761" spans="1:28" ht="15.75">
      <c r="M761" s="221"/>
      <c r="R761" s="1"/>
      <c r="S761" s="440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1"/>
      <c r="AA763" s="137"/>
    </row>
    <row r="764" spans="1:28" ht="20.25">
      <c r="A764" s="438"/>
      <c r="F764" s="439"/>
      <c r="G764" s="439"/>
      <c r="H764" s="439"/>
      <c r="I764" s="439"/>
      <c r="J764" s="439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3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8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3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3"/>
      <c r="W769" s="69"/>
      <c r="X769" s="69"/>
      <c r="Y769" s="69"/>
      <c r="AA769" s="303"/>
      <c r="AB769" s="183"/>
    </row>
    <row r="770" spans="1:28">
      <c r="A770" s="1"/>
      <c r="B770" s="338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0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3"/>
      <c r="C772" s="51"/>
      <c r="D772" s="51"/>
      <c r="E772" s="51"/>
      <c r="J772" s="223"/>
      <c r="K772" s="51"/>
      <c r="L772" s="100"/>
      <c r="M772" s="221"/>
      <c r="S772" s="441"/>
    </row>
    <row r="773" spans="1:28">
      <c r="A773" s="1"/>
      <c r="B773" s="338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1"/>
    </row>
    <row r="774" spans="1:28" ht="15.75">
      <c r="A774" s="1"/>
      <c r="B774" s="443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8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3"/>
      <c r="C777" s="51"/>
      <c r="D777" s="51"/>
      <c r="E777" s="51"/>
      <c r="K777" s="51"/>
      <c r="L777" s="100"/>
      <c r="M777" s="221"/>
    </row>
    <row r="778" spans="1:28">
      <c r="A778" s="1"/>
      <c r="B778" s="338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3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8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3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8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3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3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8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3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8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3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8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3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8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3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8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3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8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3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8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3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8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38"/>
      <c r="F812" s="439"/>
      <c r="G812" s="439"/>
      <c r="H812" s="439"/>
      <c r="I812" s="439"/>
      <c r="J812" s="439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3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8"/>
      <c r="C816" s="51"/>
      <c r="D816" s="51"/>
      <c r="E816" s="51"/>
      <c r="K816" s="51"/>
      <c r="L816" s="51"/>
    </row>
    <row r="817" spans="1:13" ht="15.75">
      <c r="A817" s="1"/>
      <c r="B817" s="443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8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3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8"/>
      <c r="C821" s="51"/>
      <c r="D821" s="51"/>
      <c r="E821" s="51"/>
      <c r="K821" s="51"/>
      <c r="L821" s="51"/>
    </row>
    <row r="822" spans="1:13" ht="15.75">
      <c r="A822" s="1"/>
      <c r="B822" s="363"/>
      <c r="C822" s="51"/>
      <c r="D822" s="51"/>
      <c r="E822" s="51"/>
      <c r="F822" s="223"/>
      <c r="K822" s="51"/>
      <c r="L822" s="100"/>
    </row>
    <row r="823" spans="1:13">
      <c r="A823" s="1"/>
      <c r="B823" s="338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3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8"/>
      <c r="C826" s="51"/>
      <c r="D826" s="51"/>
      <c r="E826" s="51"/>
      <c r="K826" s="51"/>
      <c r="L826" s="51"/>
    </row>
    <row r="827" spans="1:13" ht="15.75">
      <c r="A827" s="1"/>
      <c r="B827" s="363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8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3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8"/>
      <c r="C831" s="51"/>
      <c r="D831" s="51"/>
      <c r="E831" s="51"/>
      <c r="K831" s="51"/>
      <c r="L831" s="51"/>
    </row>
    <row r="832" spans="1:13" ht="15.75">
      <c r="A832" s="1"/>
      <c r="B832" s="443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8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38"/>
      <c r="F840" s="439"/>
      <c r="G840" s="439"/>
      <c r="H840" s="439"/>
      <c r="I840" s="439"/>
      <c r="J840" s="439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3"/>
      <c r="F843" s="223"/>
      <c r="I843" s="223"/>
      <c r="J843" s="223"/>
      <c r="L843" s="100"/>
    </row>
    <row r="844" spans="1:12">
      <c r="A844" s="1"/>
      <c r="B844" s="338"/>
      <c r="L844" s="51"/>
    </row>
    <row r="845" spans="1:12" ht="15.75">
      <c r="A845" s="1"/>
      <c r="B845" s="363"/>
      <c r="G845" s="223"/>
      <c r="H845" s="223"/>
      <c r="L845" s="100"/>
    </row>
    <row r="846" spans="1:12">
      <c r="A846" s="1"/>
      <c r="B846" s="338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3"/>
      <c r="F848" s="223"/>
      <c r="G848" s="223"/>
      <c r="H848" s="223"/>
      <c r="J848" s="223"/>
      <c r="L848" s="100"/>
    </row>
    <row r="849" spans="1:12">
      <c r="A849" s="1"/>
      <c r="B849" s="338"/>
      <c r="L849" s="51"/>
    </row>
    <row r="850" spans="1:12" ht="15.75">
      <c r="A850" s="1"/>
      <c r="B850" s="363"/>
      <c r="I850" s="223"/>
      <c r="L850" s="100"/>
    </row>
    <row r="851" spans="1:12">
      <c r="A851" s="1"/>
      <c r="B851" s="338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38"/>
      <c r="F858" s="439"/>
      <c r="G858" s="439"/>
      <c r="H858" s="439"/>
      <c r="I858" s="439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3"/>
      <c r="F861" s="223"/>
      <c r="G861" s="223"/>
      <c r="J861" s="100"/>
    </row>
    <row r="862" spans="1:12">
      <c r="A862" s="1"/>
      <c r="B862" s="338"/>
      <c r="J862" s="51"/>
    </row>
    <row r="863" spans="1:12" ht="15.75">
      <c r="A863" s="1"/>
      <c r="B863" s="363"/>
      <c r="H863" s="223"/>
      <c r="J863" s="100"/>
    </row>
    <row r="864" spans="1:12">
      <c r="A864" s="1"/>
      <c r="B864" s="338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xmlns:xlrd2="http://schemas.microsoft.com/office/spreadsheetml/2017/richdata2" ref="A659:W668">
    <sortCondition descending="1" ref="V659:V668"/>
    <sortCondition descending="1" ref="W659:W66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2058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2072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2293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3158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2337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2091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2621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2077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3160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1837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2067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2084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3159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2568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2342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2064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2797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3162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2078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2063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3173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3169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2524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2694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2059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2138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2608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2338</v>
      </c>
      <c r="N65" s="28"/>
      <c r="O65" s="28"/>
      <c r="P65" s="285">
        <v>136</v>
      </c>
      <c r="Q65" s="1" t="s">
        <v>137</v>
      </c>
      <c r="S65" s="206" t="s">
        <v>2555</v>
      </c>
      <c r="T65" s="50"/>
      <c r="U65" s="50"/>
      <c r="V65" s="285">
        <v>91</v>
      </c>
      <c r="W65" s="1" t="s">
        <v>135</v>
      </c>
    </row>
    <row r="66" spans="1:23" ht="18">
      <c r="A66" s="206" t="s">
        <v>2559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2594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2521</v>
      </c>
      <c r="T67" s="28"/>
      <c r="U67" s="28"/>
      <c r="V67" s="285">
        <v>90</v>
      </c>
      <c r="W67" s="1" t="s">
        <v>135</v>
      </c>
    </row>
    <row r="68" spans="1:23" ht="18">
      <c r="A68" s="397" t="s">
        <v>2348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2147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3152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2087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2086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2101</v>
      </c>
      <c r="B76" s="28"/>
      <c r="C76" s="276"/>
      <c r="D76" s="285">
        <v>63</v>
      </c>
      <c r="E76" s="1" t="s">
        <v>131</v>
      </c>
      <c r="G76" s="206" t="s">
        <v>2723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2088</v>
      </c>
      <c r="H77" s="28"/>
      <c r="I77" s="276"/>
      <c r="J77" s="285">
        <v>43</v>
      </c>
      <c r="K77" s="1" t="s">
        <v>132</v>
      </c>
      <c r="S77" s="407" t="s">
        <v>3161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2680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2346</v>
      </c>
      <c r="N82" s="28"/>
      <c r="O82" s="28"/>
      <c r="P82" s="285">
        <v>30</v>
      </c>
      <c r="Q82" s="1" t="s">
        <v>130</v>
      </c>
      <c r="S82" s="206" t="s">
        <v>2569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3151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2071</v>
      </c>
      <c r="T84" s="276"/>
      <c r="U84" s="276"/>
      <c r="V84" s="285">
        <v>80</v>
      </c>
      <c r="W84" s="1" t="s">
        <v>135</v>
      </c>
    </row>
    <row r="85" spans="1:23" ht="18">
      <c r="A85" s="206" t="s">
        <v>3110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2108</v>
      </c>
      <c r="T85" s="276"/>
      <c r="U85" s="276"/>
      <c r="V85" s="285">
        <v>79</v>
      </c>
      <c r="W85" s="1" t="s">
        <v>135</v>
      </c>
    </row>
    <row r="86" spans="1:23" ht="18">
      <c r="A86" s="206" t="s">
        <v>2320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2558</v>
      </c>
      <c r="B87" s="28"/>
      <c r="C87" s="28"/>
      <c r="D87" s="285">
        <v>58</v>
      </c>
      <c r="E87" s="1" t="s">
        <v>131</v>
      </c>
      <c r="G87" s="331" t="s">
        <v>2061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2135</v>
      </c>
      <c r="B91" s="28"/>
      <c r="C91" s="276"/>
      <c r="D91" s="285">
        <v>56</v>
      </c>
      <c r="E91" s="1" t="s">
        <v>131</v>
      </c>
      <c r="G91" s="331" t="s">
        <v>2096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2672</v>
      </c>
      <c r="H93" s="28"/>
      <c r="I93" s="28"/>
      <c r="J93" s="285">
        <v>41</v>
      </c>
      <c r="K93" s="1" t="s">
        <v>132</v>
      </c>
      <c r="M93" s="206" t="s">
        <v>2516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2597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3168</v>
      </c>
      <c r="T94" s="28"/>
      <c r="U94" s="276"/>
      <c r="V94" s="285">
        <v>18</v>
      </c>
      <c r="W94" s="1" t="s">
        <v>129</v>
      </c>
    </row>
    <row r="95" spans="1:23" ht="18">
      <c r="A95" s="331" t="s">
        <v>2073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2112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2660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2069</v>
      </c>
      <c r="B97" s="276"/>
      <c r="C97" s="276"/>
      <c r="D97" s="285">
        <v>53</v>
      </c>
      <c r="E97" s="1" t="s">
        <v>131</v>
      </c>
      <c r="G97" s="331" t="s">
        <v>2062</v>
      </c>
      <c r="H97" s="276"/>
      <c r="I97" s="276"/>
      <c r="J97" s="285">
        <v>40</v>
      </c>
      <c r="K97" s="1" t="s">
        <v>132</v>
      </c>
      <c r="M97" s="331" t="s">
        <v>2129</v>
      </c>
      <c r="N97" s="28"/>
      <c r="O97" s="276"/>
      <c r="P97" s="285">
        <v>28</v>
      </c>
      <c r="Q97" s="1" t="s">
        <v>130</v>
      </c>
      <c r="S97" s="331" t="s">
        <v>2154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2097</v>
      </c>
      <c r="N98" s="28"/>
      <c r="O98" s="276"/>
      <c r="P98" s="285">
        <v>28</v>
      </c>
      <c r="Q98" s="1" t="s">
        <v>130</v>
      </c>
      <c r="S98" s="206" t="s">
        <v>2667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2715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2835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2109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2629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2814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2684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2079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2068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2093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2092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2638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2679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2798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2102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2737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2789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2646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3170</v>
      </c>
      <c r="N113" s="276"/>
      <c r="O113" s="276"/>
      <c r="P113" s="285">
        <v>26</v>
      </c>
      <c r="Q113" s="1" t="s">
        <v>130</v>
      </c>
      <c r="S113" s="206" t="s">
        <v>2329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2070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2790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2722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2335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2696</v>
      </c>
      <c r="H117" s="28"/>
      <c r="I117" s="28"/>
      <c r="J117" s="285">
        <v>36</v>
      </c>
      <c r="K117" s="1" t="s">
        <v>132</v>
      </c>
      <c r="M117" s="206" t="s">
        <v>2319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3092</v>
      </c>
      <c r="N118" s="28"/>
      <c r="O118" s="28"/>
      <c r="P118" s="285">
        <v>25</v>
      </c>
      <c r="Q118" s="1" t="s">
        <v>130</v>
      </c>
      <c r="S118" s="331" t="s">
        <v>2155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2343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2575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2563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2322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2832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2788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2519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2836</v>
      </c>
      <c r="N124" s="28"/>
      <c r="O124" s="28"/>
      <c r="P124" s="285">
        <v>24</v>
      </c>
      <c r="Q124" s="1" t="s">
        <v>130</v>
      </c>
      <c r="S124" s="206" t="s">
        <v>2517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2807</v>
      </c>
      <c r="N125" s="28"/>
      <c r="O125" s="28"/>
      <c r="P125" s="285">
        <v>24</v>
      </c>
      <c r="Q125" s="1" t="s">
        <v>130</v>
      </c>
      <c r="S125" s="206" t="s">
        <v>2593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2690</v>
      </c>
      <c r="H126" s="28"/>
      <c r="I126" s="28"/>
      <c r="J126" s="285">
        <v>34</v>
      </c>
      <c r="K126" s="1" t="s">
        <v>132</v>
      </c>
      <c r="M126" s="206" t="s">
        <v>2642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3109</v>
      </c>
      <c r="N127" s="28"/>
      <c r="O127" s="28"/>
      <c r="P127" s="285">
        <v>24</v>
      </c>
      <c r="Q127" s="1" t="s">
        <v>130</v>
      </c>
      <c r="S127" s="331" t="s">
        <v>2074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2118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2075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2713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2318</v>
      </c>
      <c r="H132" s="28"/>
      <c r="I132" s="28"/>
      <c r="J132" s="285">
        <v>33</v>
      </c>
      <c r="K132" s="1" t="s">
        <v>132</v>
      </c>
      <c r="M132" s="206" t="s">
        <v>2326</v>
      </c>
      <c r="N132" s="28"/>
      <c r="O132" s="28"/>
      <c r="P132" s="285">
        <v>23</v>
      </c>
      <c r="Q132" s="1" t="s">
        <v>130</v>
      </c>
      <c r="S132" s="331" t="s">
        <v>2123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2850</v>
      </c>
      <c r="H133" s="28"/>
      <c r="I133" s="28"/>
      <c r="J133" s="285">
        <v>33</v>
      </c>
      <c r="K133" s="1" t="s">
        <v>132</v>
      </c>
      <c r="M133" s="206" t="s">
        <v>2803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2652</v>
      </c>
      <c r="H134" s="28"/>
      <c r="I134" s="28"/>
      <c r="J134" s="285">
        <v>33</v>
      </c>
      <c r="K134" s="1" t="s">
        <v>132</v>
      </c>
      <c r="M134" s="206" t="s">
        <v>2518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2121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2094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3172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2150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2099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2520</v>
      </c>
      <c r="H140" s="28"/>
      <c r="I140" s="28"/>
      <c r="J140" s="285">
        <v>31</v>
      </c>
      <c r="K140" s="1" t="s">
        <v>132</v>
      </c>
      <c r="M140" s="331" t="s">
        <v>2142</v>
      </c>
      <c r="N140" s="28"/>
      <c r="O140" s="276"/>
      <c r="P140" s="285">
        <v>22</v>
      </c>
      <c r="Q140" s="1" t="s">
        <v>130</v>
      </c>
      <c r="S140" s="206" t="s">
        <v>2659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2736</v>
      </c>
      <c r="H141" s="28"/>
      <c r="I141" s="28"/>
      <c r="J141" s="285">
        <v>31</v>
      </c>
      <c r="K141" s="1" t="s">
        <v>132</v>
      </c>
      <c r="M141" s="331" t="s">
        <v>2076</v>
      </c>
      <c r="N141" s="276"/>
      <c r="O141" s="276"/>
      <c r="P141" s="285">
        <v>22</v>
      </c>
      <c r="Q141" s="1" t="s">
        <v>130</v>
      </c>
      <c r="S141" s="206" t="s">
        <v>2675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2824</v>
      </c>
      <c r="H142" s="28"/>
      <c r="I142" s="28"/>
      <c r="J142" s="285">
        <v>31</v>
      </c>
      <c r="K142" s="1" t="s">
        <v>132</v>
      </c>
      <c r="M142" s="331" t="s">
        <v>2095</v>
      </c>
      <c r="N142" s="28"/>
      <c r="O142" s="276"/>
      <c r="P142" s="285">
        <v>22</v>
      </c>
      <c r="Q142" s="1" t="s">
        <v>130</v>
      </c>
      <c r="S142" s="206" t="s">
        <v>2678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2586</v>
      </c>
      <c r="H143" s="28"/>
      <c r="I143" s="28"/>
      <c r="J143" s="285">
        <v>31</v>
      </c>
      <c r="K143" s="1" t="s">
        <v>132</v>
      </c>
      <c r="M143" s="206" t="s">
        <v>2573</v>
      </c>
      <c r="N143" s="28"/>
      <c r="O143" s="28"/>
      <c r="P143" s="285">
        <v>22</v>
      </c>
      <c r="Q143" s="1" t="s">
        <v>130</v>
      </c>
      <c r="S143" s="206" t="s">
        <v>2755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2776</v>
      </c>
      <c r="N144" s="28"/>
      <c r="O144" s="28"/>
      <c r="P144" s="285">
        <v>22</v>
      </c>
      <c r="Q144" s="1" t="s">
        <v>130</v>
      </c>
      <c r="S144" s="206" t="s">
        <v>2805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2800</v>
      </c>
      <c r="N145" s="28"/>
      <c r="O145" s="28"/>
      <c r="P145" s="285">
        <v>22</v>
      </c>
      <c r="Q145" s="1" t="s">
        <v>130</v>
      </c>
      <c r="S145" s="206" t="s">
        <v>2863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2083</v>
      </c>
      <c r="N146" s="276"/>
      <c r="O146" s="276"/>
      <c r="P146" s="285">
        <v>21</v>
      </c>
      <c r="Q146" s="1" t="s">
        <v>130</v>
      </c>
      <c r="S146" s="206" t="s">
        <v>2609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3114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2117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2823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2554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2732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2587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2847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2616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2749</v>
      </c>
      <c r="N158" s="28"/>
      <c r="O158" s="28"/>
      <c r="P158" s="285">
        <v>20</v>
      </c>
      <c r="Q158" s="1" t="s">
        <v>130</v>
      </c>
      <c r="S158" s="206" t="s">
        <v>2693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2583</v>
      </c>
      <c r="N159" s="28"/>
      <c r="O159" s="28"/>
      <c r="P159" s="285">
        <v>20</v>
      </c>
      <c r="Q159" s="1" t="s">
        <v>130</v>
      </c>
      <c r="S159" s="206" t="s">
        <v>2766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2596</v>
      </c>
      <c r="N160" s="28"/>
      <c r="O160" s="28"/>
      <c r="P160" s="285">
        <v>20</v>
      </c>
      <c r="Q160" s="1" t="s">
        <v>130</v>
      </c>
      <c r="S160" s="407" t="s">
        <v>3174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2610</v>
      </c>
      <c r="N161" s="28"/>
      <c r="O161" s="28"/>
      <c r="P161" s="285">
        <v>20</v>
      </c>
      <c r="Q161" s="1" t="s">
        <v>130</v>
      </c>
      <c r="S161" s="206" t="s">
        <v>2842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2344</v>
      </c>
      <c r="N162" s="28"/>
      <c r="O162" s="28"/>
      <c r="P162" s="285">
        <v>20</v>
      </c>
      <c r="Q162" s="1" t="s">
        <v>130</v>
      </c>
      <c r="S162" s="206" t="s">
        <v>2602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2716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2574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1835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2114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3164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2065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2316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2663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2666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2604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2557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2791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1836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1848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2060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2081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2882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2525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2578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3202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3111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2120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2124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1847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2859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2598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2843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2556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2566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2323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2681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3129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2110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3165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2137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1849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3166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2752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2743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2739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2607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2760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2754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2741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2742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2567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2746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2871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2750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2747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2756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2113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2126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2080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2148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2152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2782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2336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2846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2691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2321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2866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2648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2816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2618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3201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2651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2546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2657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2833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2872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2562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2683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2545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3094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2669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2612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2779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2692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2339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2745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2654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3108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1850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3167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2630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3200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2670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2717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2822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2870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2721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2709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2853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2860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2347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2838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3199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2122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2085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2100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2577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2875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2851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2611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2831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2584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2695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2334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2622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2676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2639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2802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2708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3139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1838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2098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2127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2133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3163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2829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2668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2744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2753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2333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2673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2605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2759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2626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2735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2561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2748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2787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2844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2758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2818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2315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2733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2603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2738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2718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2725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3087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2734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2636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2751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2761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2515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2740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2757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3113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3131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3136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3140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2082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2125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2130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2134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2141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2780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2810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2633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2840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2533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2808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2852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2856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2861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2707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2786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2623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2687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2724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2792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2711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2854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2841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2291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3133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3137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2111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2119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2066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1845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2139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2143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2146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2151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2526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2619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2565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2821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2674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2855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2811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2522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2588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2617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2349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2864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2837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2812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2634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3095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2600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2849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2783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2585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2606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2819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2865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2834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2331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2817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2867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2719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2727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2728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2825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3115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2115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2136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2089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2714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2330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2682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2796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3093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2876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2328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2635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2345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2527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2820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2809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2327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2601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2689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3090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3089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2547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2324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2631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2647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2688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2534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2815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2549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2862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2627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2553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2874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2793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2625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2620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2658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2845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2650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3103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3112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3116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3138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2090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2116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3171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2128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2131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2132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1840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2140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2144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2145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2149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2153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2685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2641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2827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2572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2795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2576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2589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2613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2839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2341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2677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2340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2624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2720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2560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2726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2655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2649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3096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2656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2830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2599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2628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2858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2653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2806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2314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2794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2813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2332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2826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2579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3086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2686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2632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2801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2523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2848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2350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2883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2712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3098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2804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2781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2857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2873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2671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2710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3091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2637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3117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3127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08"/>
  <sheetViews>
    <sheetView topLeftCell="A351" zoomScaleNormal="100" workbookViewId="0">
      <selection activeCell="C370" sqref="C37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4119</v>
      </c>
    </row>
    <row r="2" spans="1:13" ht="15" customHeight="1">
      <c r="A2" s="488" t="s">
        <v>4513</v>
      </c>
    </row>
    <row r="3" spans="1:13" ht="15" customHeight="1">
      <c r="A3" s="505" t="s">
        <v>4136</v>
      </c>
      <c r="B3" s="506"/>
    </row>
    <row r="4" spans="1:13" ht="15" customHeight="1">
      <c r="A4" s="291" t="s">
        <v>4134</v>
      </c>
      <c r="B4" s="291" t="s">
        <v>2697</v>
      </c>
      <c r="C4" s="291" t="s">
        <v>2698</v>
      </c>
      <c r="D4" s="291" t="s">
        <v>2699</v>
      </c>
      <c r="E4" s="291" t="s">
        <v>2700</v>
      </c>
      <c r="F4" s="291" t="s">
        <v>2701</v>
      </c>
      <c r="G4" s="291" t="s">
        <v>40</v>
      </c>
      <c r="H4" s="452" t="s">
        <v>2456</v>
      </c>
      <c r="M4" s="124" t="s">
        <v>2456</v>
      </c>
    </row>
    <row r="5" spans="1:13" ht="15" customHeight="1">
      <c r="A5" s="25" t="s">
        <v>4520</v>
      </c>
      <c r="B5" s="25" t="s">
        <v>2028</v>
      </c>
      <c r="C5" s="25" t="s">
        <v>4551</v>
      </c>
      <c r="D5" s="25" t="s">
        <v>2011</v>
      </c>
      <c r="E5" s="25" t="s">
        <v>1652</v>
      </c>
      <c r="F5" s="25" t="s">
        <v>783</v>
      </c>
      <c r="G5" s="25" t="s">
        <v>2011</v>
      </c>
      <c r="H5" s="392" t="s">
        <v>2011</v>
      </c>
      <c r="I5" s="221" t="s">
        <v>4728</v>
      </c>
      <c r="M5" s="124"/>
    </row>
    <row r="6" spans="1:13" ht="15" customHeight="1">
      <c r="A6" s="26" t="s">
        <v>2011</v>
      </c>
      <c r="B6" s="26" t="s">
        <v>1652</v>
      </c>
      <c r="C6" s="26" t="s">
        <v>3378</v>
      </c>
      <c r="D6" s="26" t="s">
        <v>2054</v>
      </c>
      <c r="E6" s="26" t="s">
        <v>3393</v>
      </c>
      <c r="F6" s="26" t="s">
        <v>9</v>
      </c>
      <c r="G6" s="26" t="s">
        <v>783</v>
      </c>
      <c r="H6" s="467" t="s">
        <v>4135</v>
      </c>
      <c r="I6" s="221" t="s">
        <v>4728</v>
      </c>
      <c r="M6" t="s">
        <v>2030</v>
      </c>
    </row>
    <row r="7" spans="1:13" ht="15" customHeight="1">
      <c r="A7" s="21" t="s">
        <v>800</v>
      </c>
      <c r="B7" s="21" t="s">
        <v>3393</v>
      </c>
      <c r="C7" s="21" t="s">
        <v>3394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8" t="s">
        <v>4514</v>
      </c>
    </row>
    <row r="10" spans="1:13" ht="15" customHeight="1">
      <c r="A10" s="24" t="s">
        <v>4137</v>
      </c>
      <c r="F10" s="448"/>
    </row>
    <row r="11" spans="1:13" ht="15" customHeight="1">
      <c r="A11" s="25" t="s">
        <v>2057</v>
      </c>
      <c r="B11" s="452" t="s">
        <v>2456</v>
      </c>
    </row>
    <row r="12" spans="1:13" ht="15" customHeight="1">
      <c r="A12" s="26" t="s">
        <v>3403</v>
      </c>
      <c r="B12" s="392" t="s">
        <v>2011</v>
      </c>
      <c r="C12" s="221" t="s">
        <v>4731</v>
      </c>
    </row>
    <row r="13" spans="1:13" ht="15" customHeight="1">
      <c r="A13" s="21" t="s">
        <v>3394</v>
      </c>
      <c r="B13" s="467" t="s">
        <v>4576</v>
      </c>
      <c r="C13" s="221" t="s">
        <v>4732</v>
      </c>
    </row>
    <row r="14" spans="1:13" ht="15" customHeight="1">
      <c r="A14" s="21" t="s">
        <v>2015</v>
      </c>
      <c r="B14" s="453"/>
      <c r="C14" s="1"/>
    </row>
    <row r="15" spans="1:13" ht="15" customHeight="1">
      <c r="A15" s="21" t="s">
        <v>3387</v>
      </c>
      <c r="C15" s="1"/>
    </row>
    <row r="16" spans="1:13" ht="15" customHeight="1">
      <c r="A16" s="21" t="s">
        <v>3381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3383</v>
      </c>
      <c r="C18" s="1"/>
    </row>
    <row r="19" spans="1:6" ht="15" customHeight="1">
      <c r="A19" s="21" t="s">
        <v>3382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3374</v>
      </c>
      <c r="C21" s="1"/>
    </row>
    <row r="22" spans="1:6" ht="15" customHeight="1">
      <c r="A22" s="39"/>
      <c r="F22" s="448"/>
    </row>
    <row r="23" spans="1:6" ht="15" customHeight="1">
      <c r="A23" s="24" t="s">
        <v>4560</v>
      </c>
    </row>
    <row r="24" spans="1:6" ht="15" customHeight="1">
      <c r="A24" s="25" t="s">
        <v>3407</v>
      </c>
      <c r="B24" s="452" t="s">
        <v>2456</v>
      </c>
    </row>
    <row r="25" spans="1:6" ht="15" customHeight="1">
      <c r="A25" s="26" t="s">
        <v>796</v>
      </c>
      <c r="B25" s="392" t="s">
        <v>2011</v>
      </c>
      <c r="C25" s="221" t="s">
        <v>4733</v>
      </c>
    </row>
    <row r="26" spans="1:6" ht="15" customHeight="1">
      <c r="A26" s="21" t="s">
        <v>11</v>
      </c>
      <c r="B26" s="467" t="s">
        <v>4577</v>
      </c>
      <c r="C26" s="221" t="s">
        <v>4734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4570</v>
      </c>
    </row>
    <row r="30" spans="1:6" ht="15" customHeight="1">
      <c r="A30" s="25" t="s">
        <v>3374</v>
      </c>
      <c r="B30" s="452" t="s">
        <v>2456</v>
      </c>
    </row>
    <row r="31" spans="1:6" ht="15" customHeight="1">
      <c r="A31" s="26" t="s">
        <v>1647</v>
      </c>
      <c r="B31" s="392" t="s">
        <v>2011</v>
      </c>
      <c r="C31" s="221" t="s">
        <v>4730</v>
      </c>
    </row>
    <row r="32" spans="1:6" ht="15" customHeight="1">
      <c r="A32" s="21" t="s">
        <v>143</v>
      </c>
      <c r="B32" s="467" t="s">
        <v>4578</v>
      </c>
      <c r="C32" s="221" t="s">
        <v>4735</v>
      </c>
    </row>
    <row r="33" spans="1:6" ht="15" customHeight="1">
      <c r="B33" s="453"/>
    </row>
    <row r="34" spans="1:6" ht="15" customHeight="1">
      <c r="A34" s="24" t="s">
        <v>4561</v>
      </c>
    </row>
    <row r="35" spans="1:6" ht="15" customHeight="1">
      <c r="A35" s="25" t="s">
        <v>2031</v>
      </c>
      <c r="B35" s="452" t="s">
        <v>2456</v>
      </c>
    </row>
    <row r="36" spans="1:6" ht="15" customHeight="1">
      <c r="A36" s="25" t="s">
        <v>749</v>
      </c>
      <c r="B36" s="392" t="s">
        <v>2011</v>
      </c>
      <c r="C36" s="221" t="s">
        <v>4736</v>
      </c>
    </row>
    <row r="37" spans="1:6" ht="15" customHeight="1">
      <c r="A37" s="21" t="s">
        <v>4559</v>
      </c>
      <c r="B37" s="467" t="s">
        <v>4582</v>
      </c>
      <c r="C37" s="221" t="s">
        <v>4737</v>
      </c>
      <c r="F37" s="448"/>
    </row>
    <row r="38" spans="1:6" ht="15" customHeight="1">
      <c r="A38" s="21" t="s">
        <v>3390</v>
      </c>
      <c r="B38" s="392"/>
    </row>
    <row r="39" spans="1:6" ht="15" customHeight="1">
      <c r="B39" s="1"/>
    </row>
    <row r="40" spans="1:6" ht="15" customHeight="1">
      <c r="A40" s="24" t="s">
        <v>4562</v>
      </c>
    </row>
    <row r="41" spans="1:6" ht="15" customHeight="1">
      <c r="A41" s="25" t="s">
        <v>2031</v>
      </c>
      <c r="B41" s="452" t="s">
        <v>2456</v>
      </c>
    </row>
    <row r="42" spans="1:6" ht="15" customHeight="1">
      <c r="A42" s="25" t="s">
        <v>749</v>
      </c>
      <c r="B42" s="392" t="s">
        <v>2011</v>
      </c>
      <c r="C42" s="221" t="s">
        <v>4738</v>
      </c>
    </row>
    <row r="43" spans="1:6" ht="15" customHeight="1">
      <c r="A43" s="21" t="s">
        <v>779</v>
      </c>
      <c r="B43" s="467" t="s">
        <v>4584</v>
      </c>
      <c r="C43" s="221" t="s">
        <v>4739</v>
      </c>
      <c r="F43" s="448"/>
    </row>
    <row r="44" spans="1:6" ht="15" customHeight="1">
      <c r="B44" s="453"/>
    </row>
    <row r="45" spans="1:6" ht="15" customHeight="1">
      <c r="A45" s="24" t="s">
        <v>4563</v>
      </c>
    </row>
    <row r="46" spans="1:6" ht="15" customHeight="1">
      <c r="A46" s="25" t="s">
        <v>783</v>
      </c>
      <c r="B46" s="452" t="s">
        <v>2456</v>
      </c>
    </row>
    <row r="47" spans="1:6" ht="15" customHeight="1">
      <c r="A47" s="26" t="s">
        <v>143</v>
      </c>
      <c r="B47" s="392" t="s">
        <v>2011</v>
      </c>
      <c r="C47" s="221" t="s">
        <v>4730</v>
      </c>
    </row>
    <row r="48" spans="1:6" ht="15" customHeight="1">
      <c r="A48" s="21" t="s">
        <v>33</v>
      </c>
      <c r="B48" s="467" t="s">
        <v>4586</v>
      </c>
      <c r="C48" s="221" t="s">
        <v>4740</v>
      </c>
      <c r="F48" s="448"/>
    </row>
    <row r="49" spans="1:10" ht="15" customHeight="1">
      <c r="B49" s="467"/>
    </row>
    <row r="50" spans="1:10" ht="15" customHeight="1">
      <c r="A50" s="24" t="s">
        <v>4564</v>
      </c>
    </row>
    <row r="51" spans="1:10" ht="15" customHeight="1">
      <c r="A51" s="25" t="s">
        <v>27</v>
      </c>
      <c r="B51" s="452" t="s">
        <v>2456</v>
      </c>
    </row>
    <row r="52" spans="1:10" ht="15" customHeight="1">
      <c r="A52" s="26" t="s">
        <v>728</v>
      </c>
      <c r="B52" s="392" t="s">
        <v>2011</v>
      </c>
      <c r="C52" s="221" t="s">
        <v>4730</v>
      </c>
    </row>
    <row r="53" spans="1:10" ht="15" customHeight="1">
      <c r="A53" s="21" t="s">
        <v>2054</v>
      </c>
      <c r="B53" s="467" t="s">
        <v>4592</v>
      </c>
      <c r="C53" s="221" t="s">
        <v>4741</v>
      </c>
    </row>
    <row r="54" spans="1:10" ht="15" customHeight="1">
      <c r="A54" s="21"/>
      <c r="B54" s="453"/>
      <c r="F54" s="448"/>
    </row>
    <row r="55" spans="1:10" ht="15" customHeight="1">
      <c r="A55" s="24" t="s">
        <v>4566</v>
      </c>
    </row>
    <row r="56" spans="1:10" ht="15" customHeight="1">
      <c r="A56" s="291" t="s">
        <v>2697</v>
      </c>
      <c r="B56" s="291" t="s">
        <v>2698</v>
      </c>
      <c r="C56" s="291" t="s">
        <v>2699</v>
      </c>
      <c r="D56" s="291" t="s">
        <v>2700</v>
      </c>
      <c r="E56" s="291" t="s">
        <v>2701</v>
      </c>
      <c r="F56" s="291" t="s">
        <v>2702</v>
      </c>
      <c r="G56" s="291" t="s">
        <v>2703</v>
      </c>
      <c r="H56" s="291" t="s">
        <v>40</v>
      </c>
      <c r="I56" s="452" t="s">
        <v>2456</v>
      </c>
    </row>
    <row r="57" spans="1:10" ht="15" customHeight="1">
      <c r="A57" s="25" t="s">
        <v>4558</v>
      </c>
      <c r="B57" s="25" t="s">
        <v>33</v>
      </c>
      <c r="C57" s="25" t="s">
        <v>33</v>
      </c>
      <c r="D57" s="25" t="s">
        <v>33</v>
      </c>
      <c r="E57" s="25" t="s">
        <v>3373</v>
      </c>
      <c r="F57" s="25" t="s">
        <v>1</v>
      </c>
      <c r="G57" s="25" t="s">
        <v>3373</v>
      </c>
      <c r="H57" s="25" t="s">
        <v>153</v>
      </c>
      <c r="I57" s="392" t="s">
        <v>2011</v>
      </c>
      <c r="J57" s="221" t="s">
        <v>4742</v>
      </c>
    </row>
    <row r="58" spans="1:10" ht="15" customHeight="1">
      <c r="A58" s="26" t="s">
        <v>4558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3380</v>
      </c>
      <c r="G58" s="25" t="s">
        <v>1654</v>
      </c>
      <c r="H58" s="26" t="s">
        <v>2014</v>
      </c>
      <c r="I58" s="467" t="s">
        <v>4603</v>
      </c>
      <c r="J58" s="221" t="s">
        <v>4743</v>
      </c>
    </row>
    <row r="59" spans="1:10" ht="15" customHeight="1">
      <c r="A59" s="21" t="s">
        <v>4558</v>
      </c>
      <c r="B59" s="26" t="s">
        <v>31</v>
      </c>
      <c r="C59" s="26" t="s">
        <v>31</v>
      </c>
      <c r="D59" s="26" t="s">
        <v>31</v>
      </c>
      <c r="E59" s="21" t="s">
        <v>4558</v>
      </c>
      <c r="F59" s="21" t="s">
        <v>4558</v>
      </c>
      <c r="G59" s="21" t="s">
        <v>4558</v>
      </c>
      <c r="H59" s="21" t="s">
        <v>33</v>
      </c>
      <c r="I59" s="453"/>
    </row>
    <row r="60" spans="1:10" ht="15" customHeight="1"/>
    <row r="61" spans="1:10" ht="15" customHeight="1">
      <c r="A61" s="24" t="s">
        <v>4565</v>
      </c>
    </row>
    <row r="62" spans="1:10" ht="15" customHeight="1">
      <c r="A62" s="291" t="s">
        <v>2697</v>
      </c>
      <c r="B62" s="291" t="s">
        <v>2698</v>
      </c>
      <c r="C62" s="291" t="s">
        <v>2699</v>
      </c>
      <c r="D62" s="291" t="s">
        <v>2700</v>
      </c>
      <c r="E62" s="291" t="s">
        <v>2701</v>
      </c>
      <c r="F62" s="291" t="s">
        <v>2702</v>
      </c>
      <c r="G62" s="291" t="s">
        <v>2703</v>
      </c>
      <c r="H62" s="291" t="s">
        <v>40</v>
      </c>
      <c r="I62" s="452" t="s">
        <v>2456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2011</v>
      </c>
      <c r="F63" s="25" t="s">
        <v>1657</v>
      </c>
      <c r="G63" s="25" t="s">
        <v>790</v>
      </c>
      <c r="H63" s="25" t="s">
        <v>2011</v>
      </c>
      <c r="I63" s="392" t="s">
        <v>2011</v>
      </c>
      <c r="J63" s="221" t="s">
        <v>4729</v>
      </c>
    </row>
    <row r="64" spans="1:10" ht="15" customHeight="1">
      <c r="A64" s="26" t="s">
        <v>3383</v>
      </c>
      <c r="B64" s="26" t="s">
        <v>2161</v>
      </c>
      <c r="C64" s="26" t="s">
        <v>728</v>
      </c>
      <c r="D64" s="26" t="s">
        <v>1657</v>
      </c>
      <c r="E64" s="26" t="s">
        <v>2056</v>
      </c>
      <c r="F64" s="26" t="s">
        <v>748</v>
      </c>
      <c r="G64" s="26" t="s">
        <v>782</v>
      </c>
      <c r="H64" s="26" t="s">
        <v>2056</v>
      </c>
      <c r="I64" s="467" t="s">
        <v>4618</v>
      </c>
      <c r="J64" s="221" t="s">
        <v>4744</v>
      </c>
    </row>
    <row r="65" spans="1:9" ht="15" customHeight="1">
      <c r="A65" s="21" t="s">
        <v>4551</v>
      </c>
      <c r="B65" s="21" t="s">
        <v>3376</v>
      </c>
      <c r="C65" s="21" t="s">
        <v>2006</v>
      </c>
      <c r="D65" s="21" t="s">
        <v>3387</v>
      </c>
      <c r="E65" s="21" t="s">
        <v>3385</v>
      </c>
      <c r="F65" s="21" t="s">
        <v>2011</v>
      </c>
      <c r="G65" s="21" t="s">
        <v>1653</v>
      </c>
      <c r="H65" s="21" t="s">
        <v>748</v>
      </c>
      <c r="I65" s="453"/>
    </row>
    <row r="66" spans="1:9" ht="15" customHeight="1">
      <c r="B66" s="1"/>
    </row>
    <row r="67" spans="1:9" ht="15" customHeight="1">
      <c r="A67" s="505" t="s">
        <v>4567</v>
      </c>
      <c r="B67" s="506"/>
      <c r="F67" s="448"/>
    </row>
    <row r="68" spans="1:9" ht="15" customHeight="1">
      <c r="A68" s="25" t="s">
        <v>2011</v>
      </c>
      <c r="B68" s="452" t="s">
        <v>2456</v>
      </c>
    </row>
    <row r="69" spans="1:9" ht="15" customHeight="1">
      <c r="A69" s="26" t="s">
        <v>3385</v>
      </c>
      <c r="B69" s="392" t="s">
        <v>2011</v>
      </c>
      <c r="C69" s="221" t="s">
        <v>4730</v>
      </c>
    </row>
    <row r="70" spans="1:9" ht="15" customHeight="1">
      <c r="A70" s="21" t="s">
        <v>3393</v>
      </c>
      <c r="B70" s="467" t="s">
        <v>4620</v>
      </c>
      <c r="C70" s="221" t="s">
        <v>4745</v>
      </c>
    </row>
    <row r="71" spans="1:9" ht="15" customHeight="1">
      <c r="B71" s="453"/>
      <c r="C71" s="1"/>
    </row>
    <row r="72" spans="1:9" ht="15" customHeight="1">
      <c r="A72" s="488" t="s">
        <v>4515</v>
      </c>
    </row>
    <row r="73" spans="1:9" ht="15" customHeight="1">
      <c r="A73" s="24" t="s">
        <v>4510</v>
      </c>
      <c r="F73" s="448"/>
    </row>
    <row r="74" spans="1:9" ht="15" customHeight="1">
      <c r="A74" s="291" t="s">
        <v>2697</v>
      </c>
      <c r="B74" s="291" t="s">
        <v>2698</v>
      </c>
      <c r="C74" s="291" t="s">
        <v>2699</v>
      </c>
      <c r="D74" s="291" t="s">
        <v>2700</v>
      </c>
      <c r="E74" s="291" t="s">
        <v>2701</v>
      </c>
      <c r="F74" s="291" t="s">
        <v>40</v>
      </c>
      <c r="G74" s="452" t="s">
        <v>2456</v>
      </c>
    </row>
    <row r="75" spans="1:9" ht="15" customHeight="1">
      <c r="A75" s="25" t="s">
        <v>757</v>
      </c>
      <c r="B75" s="25" t="s">
        <v>3383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2011</v>
      </c>
      <c r="H75" s="221" t="s">
        <v>4750</v>
      </c>
    </row>
    <row r="76" spans="1:9" ht="15" customHeight="1">
      <c r="A76" s="26" t="s">
        <v>763</v>
      </c>
      <c r="B76" s="26" t="s">
        <v>2012</v>
      </c>
      <c r="C76" s="26" t="s">
        <v>25</v>
      </c>
      <c r="D76" s="26" t="s">
        <v>2011</v>
      </c>
      <c r="E76" s="26" t="s">
        <v>3386</v>
      </c>
      <c r="F76" s="26" t="s">
        <v>155</v>
      </c>
      <c r="G76" s="467" t="s">
        <v>4761</v>
      </c>
      <c r="H76" s="221" t="s">
        <v>4751</v>
      </c>
    </row>
    <row r="77" spans="1:9" ht="15" customHeight="1">
      <c r="A77" s="26" t="s">
        <v>738</v>
      </c>
      <c r="B77" s="21" t="s">
        <v>3387</v>
      </c>
      <c r="C77" s="21" t="s">
        <v>154</v>
      </c>
      <c r="D77" s="21" t="s">
        <v>4746</v>
      </c>
      <c r="E77" s="21" t="s">
        <v>790</v>
      </c>
      <c r="F77" s="21" t="s">
        <v>3387</v>
      </c>
      <c r="G77" s="453"/>
    </row>
    <row r="78" spans="1:9" ht="15" customHeight="1">
      <c r="A78" s="26" t="s">
        <v>3379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8"/>
    </row>
    <row r="81" spans="1:8" ht="15" customHeight="1">
      <c r="A81" s="24" t="s">
        <v>4511</v>
      </c>
      <c r="F81" s="448"/>
    </row>
    <row r="82" spans="1:8" ht="15" customHeight="1">
      <c r="A82" s="291" t="s">
        <v>2697</v>
      </c>
      <c r="B82" s="291" t="s">
        <v>2698</v>
      </c>
      <c r="C82" s="291" t="s">
        <v>2699</v>
      </c>
      <c r="D82" s="291" t="s">
        <v>2700</v>
      </c>
      <c r="E82" s="291" t="s">
        <v>2701</v>
      </c>
      <c r="F82" s="291" t="s">
        <v>40</v>
      </c>
      <c r="G82" s="452" t="s">
        <v>2456</v>
      </c>
    </row>
    <row r="83" spans="1:8" ht="15" customHeight="1">
      <c r="A83" s="25" t="s">
        <v>3382</v>
      </c>
      <c r="B83" s="25" t="s">
        <v>4558</v>
      </c>
      <c r="C83" s="25" t="s">
        <v>3381</v>
      </c>
      <c r="D83" s="25" t="s">
        <v>2022</v>
      </c>
      <c r="E83" s="25" t="s">
        <v>2031</v>
      </c>
      <c r="F83" s="25" t="s">
        <v>2022</v>
      </c>
      <c r="G83" s="392" t="s">
        <v>2011</v>
      </c>
      <c r="H83" s="221" t="s">
        <v>4754</v>
      </c>
    </row>
    <row r="84" spans="1:8" ht="15" customHeight="1">
      <c r="A84" s="26" t="s">
        <v>3383</v>
      </c>
      <c r="B84" s="26" t="s">
        <v>4558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7" t="s">
        <v>4762</v>
      </c>
      <c r="H84" s="221" t="s">
        <v>4755</v>
      </c>
    </row>
    <row r="85" spans="1:8" ht="15" customHeight="1">
      <c r="A85" s="21" t="s">
        <v>1659</v>
      </c>
      <c r="B85" s="21" t="s">
        <v>4558</v>
      </c>
      <c r="C85" s="21" t="s">
        <v>778</v>
      </c>
      <c r="D85" s="26" t="s">
        <v>2015</v>
      </c>
      <c r="E85" s="21" t="s">
        <v>2022</v>
      </c>
      <c r="F85" s="21" t="s">
        <v>2015</v>
      </c>
      <c r="G85" s="453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4747</v>
      </c>
      <c r="C87" s="26"/>
      <c r="D87" s="26" t="s">
        <v>2030</v>
      </c>
      <c r="G87" s="1"/>
    </row>
    <row r="88" spans="1:8" ht="15" customHeight="1">
      <c r="A88" s="21"/>
      <c r="B88" t="s">
        <v>4747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4512</v>
      </c>
      <c r="F90" s="448"/>
    </row>
    <row r="91" spans="1:8" ht="15" customHeight="1">
      <c r="A91" s="291" t="s">
        <v>2697</v>
      </c>
      <c r="B91" s="291" t="s">
        <v>2698</v>
      </c>
      <c r="C91" s="291" t="s">
        <v>2699</v>
      </c>
      <c r="D91" s="291" t="s">
        <v>2700</v>
      </c>
      <c r="E91" s="291" t="s">
        <v>2701</v>
      </c>
      <c r="F91" s="291" t="s">
        <v>40</v>
      </c>
      <c r="G91" s="452" t="s">
        <v>2456</v>
      </c>
    </row>
    <row r="92" spans="1:8" ht="15" customHeight="1">
      <c r="A92" s="25" t="s">
        <v>1656</v>
      </c>
      <c r="B92" s="25" t="s">
        <v>3384</v>
      </c>
      <c r="C92" s="25" t="s">
        <v>162</v>
      </c>
      <c r="D92" s="25" t="s">
        <v>141</v>
      </c>
      <c r="E92" s="25" t="s">
        <v>3379</v>
      </c>
      <c r="F92" s="25" t="s">
        <v>778</v>
      </c>
      <c r="G92" s="392" t="s">
        <v>2011</v>
      </c>
      <c r="H92" s="221" t="s">
        <v>4759</v>
      </c>
    </row>
    <row r="93" spans="1:8" ht="15" customHeight="1">
      <c r="A93" s="26" t="s">
        <v>783</v>
      </c>
      <c r="B93" s="26" t="s">
        <v>3393</v>
      </c>
      <c r="C93" s="26" t="s">
        <v>9</v>
      </c>
      <c r="D93" s="26" t="s">
        <v>733</v>
      </c>
      <c r="E93" s="26" t="s">
        <v>4551</v>
      </c>
      <c r="F93" s="26" t="s">
        <v>733</v>
      </c>
      <c r="G93" s="467" t="s">
        <v>4763</v>
      </c>
      <c r="H93" s="221" t="s">
        <v>4760</v>
      </c>
    </row>
    <row r="94" spans="1:8" ht="15" customHeight="1">
      <c r="A94" s="21" t="s">
        <v>3375</v>
      </c>
      <c r="B94" s="21" t="s">
        <v>2030</v>
      </c>
      <c r="C94" s="26" t="s">
        <v>3391</v>
      </c>
      <c r="D94" s="21" t="s">
        <v>778</v>
      </c>
      <c r="E94" s="21" t="s">
        <v>2161</v>
      </c>
      <c r="F94" s="21" t="s">
        <v>3393</v>
      </c>
      <c r="G94" s="453"/>
    </row>
    <row r="95" spans="1:8" ht="15" customHeight="1"/>
    <row r="96" spans="1:8" ht="15" customHeight="1">
      <c r="A96" s="488" t="s">
        <v>4516</v>
      </c>
      <c r="C96" t="s">
        <v>4747</v>
      </c>
    </row>
    <row r="97" spans="1:6" ht="15" customHeight="1">
      <c r="A97" s="24" t="s">
        <v>4517</v>
      </c>
      <c r="C97" t="s">
        <v>4747</v>
      </c>
    </row>
    <row r="98" spans="1:6" ht="15" customHeight="1">
      <c r="A98" s="25" t="s">
        <v>1660</v>
      </c>
      <c r="B98" s="452" t="s">
        <v>2456</v>
      </c>
      <c r="C98" s="221" t="s">
        <v>4730</v>
      </c>
      <c r="F98" s="448"/>
    </row>
    <row r="99" spans="1:6" ht="15" customHeight="1">
      <c r="A99" s="26" t="s">
        <v>728</v>
      </c>
      <c r="B99" s="392" t="s">
        <v>2011</v>
      </c>
      <c r="C99" s="221" t="s">
        <v>4792</v>
      </c>
    </row>
    <row r="100" spans="1:6" ht="15" customHeight="1">
      <c r="A100" s="21" t="s">
        <v>3391</v>
      </c>
      <c r="B100" s="467" t="s">
        <v>4802</v>
      </c>
      <c r="C100" s="221"/>
    </row>
    <row r="101" spans="1:6" ht="15" customHeight="1">
      <c r="B101" s="453"/>
    </row>
    <row r="102" spans="1:6" ht="15" customHeight="1">
      <c r="A102" s="24" t="s">
        <v>4568</v>
      </c>
    </row>
    <row r="103" spans="1:6" ht="15" customHeight="1">
      <c r="A103" s="25" t="s">
        <v>3391</v>
      </c>
      <c r="B103" s="452" t="s">
        <v>2456</v>
      </c>
      <c r="C103" s="221" t="s">
        <v>4730</v>
      </c>
    </row>
    <row r="104" spans="1:6" ht="15" customHeight="1">
      <c r="A104" s="26" t="s">
        <v>3390</v>
      </c>
      <c r="B104" s="392" t="s">
        <v>2011</v>
      </c>
      <c r="C104" s="221" t="s">
        <v>4793</v>
      </c>
    </row>
    <row r="105" spans="1:6" ht="15" customHeight="1">
      <c r="A105" s="21" t="s">
        <v>771</v>
      </c>
      <c r="B105" s="467" t="s">
        <v>4803</v>
      </c>
      <c r="C105" s="221"/>
    </row>
    <row r="106" spans="1:6" ht="15" customHeight="1">
      <c r="A106" s="39"/>
      <c r="B106" s="453"/>
    </row>
    <row r="107" spans="1:6" ht="15" customHeight="1">
      <c r="A107" s="24" t="s">
        <v>4569</v>
      </c>
    </row>
    <row r="108" spans="1:6" ht="15" customHeight="1">
      <c r="A108" s="25" t="s">
        <v>796</v>
      </c>
      <c r="B108" s="452" t="s">
        <v>2456</v>
      </c>
      <c r="C108" s="221" t="s">
        <v>4730</v>
      </c>
      <c r="E108" s="448"/>
    </row>
    <row r="109" spans="1:6" ht="15" customHeight="1">
      <c r="A109" s="26" t="s">
        <v>1</v>
      </c>
      <c r="B109" s="392" t="s">
        <v>2011</v>
      </c>
      <c r="C109" s="221" t="s">
        <v>4794</v>
      </c>
      <c r="D109" s="291"/>
      <c r="E109" s="291"/>
      <c r="F109" s="124"/>
    </row>
    <row r="110" spans="1:6" ht="15" customHeight="1">
      <c r="A110" s="21" t="s">
        <v>1647</v>
      </c>
      <c r="B110" s="467" t="s">
        <v>4804</v>
      </c>
      <c r="C110" s="221"/>
      <c r="F110" s="124"/>
    </row>
    <row r="111" spans="1:6" ht="15" customHeight="1">
      <c r="A111" s="21"/>
      <c r="B111" s="453"/>
    </row>
    <row r="112" spans="1:6" ht="15" customHeight="1">
      <c r="A112" s="24" t="s">
        <v>4767</v>
      </c>
      <c r="F112" s="1"/>
    </row>
    <row r="113" spans="1:6" ht="15" customHeight="1">
      <c r="A113" s="25" t="s">
        <v>3373</v>
      </c>
      <c r="B113" s="452" t="s">
        <v>2456</v>
      </c>
      <c r="C113" s="221" t="s">
        <v>4795</v>
      </c>
      <c r="F113" s="448"/>
    </row>
    <row r="114" spans="1:6" ht="15" customHeight="1">
      <c r="A114" s="25" t="s">
        <v>1654</v>
      </c>
      <c r="B114" s="392" t="s">
        <v>2011</v>
      </c>
      <c r="C114" s="221" t="s">
        <v>4796</v>
      </c>
    </row>
    <row r="115" spans="1:6" ht="15" customHeight="1">
      <c r="A115" s="21" t="s">
        <v>4558</v>
      </c>
      <c r="B115" s="467" t="s">
        <v>4805</v>
      </c>
      <c r="C115" s="221"/>
    </row>
    <row r="116" spans="1:6" ht="15" customHeight="1">
      <c r="B116" s="453"/>
    </row>
    <row r="117" spans="1:6" ht="15" customHeight="1">
      <c r="A117" s="24" t="s">
        <v>4766</v>
      </c>
    </row>
    <row r="118" spans="1:6" ht="15" customHeight="1">
      <c r="A118" s="25" t="s">
        <v>153</v>
      </c>
      <c r="B118" s="452" t="s">
        <v>2456</v>
      </c>
      <c r="C118" s="221" t="s">
        <v>4730</v>
      </c>
    </row>
    <row r="119" spans="1:6" ht="15" customHeight="1">
      <c r="A119" s="26" t="s">
        <v>3381</v>
      </c>
      <c r="B119" s="392" t="s">
        <v>2011</v>
      </c>
      <c r="C119" s="221" t="s">
        <v>4797</v>
      </c>
    </row>
    <row r="120" spans="1:6" ht="15" customHeight="1">
      <c r="A120" s="21" t="s">
        <v>757</v>
      </c>
      <c r="B120" s="467" t="s">
        <v>4806</v>
      </c>
    </row>
    <row r="121" spans="1:6" ht="15" customHeight="1">
      <c r="B121" s="453"/>
    </row>
    <row r="122" spans="1:6" ht="15" customHeight="1">
      <c r="A122" s="24" t="s">
        <v>4768</v>
      </c>
    </row>
    <row r="123" spans="1:6" ht="15" customHeight="1">
      <c r="A123" s="25" t="s">
        <v>3373</v>
      </c>
      <c r="B123" s="452" t="s">
        <v>2456</v>
      </c>
      <c r="C123" s="221" t="s">
        <v>4795</v>
      </c>
    </row>
    <row r="124" spans="1:6" ht="15" customHeight="1">
      <c r="A124" s="25" t="s">
        <v>1654</v>
      </c>
      <c r="B124" s="392" t="s">
        <v>2011</v>
      </c>
      <c r="C124" s="221" t="s">
        <v>4810</v>
      </c>
    </row>
    <row r="125" spans="1:6" ht="15" customHeight="1">
      <c r="A125" s="21" t="s">
        <v>4558</v>
      </c>
      <c r="B125" s="467" t="s">
        <v>4809</v>
      </c>
      <c r="C125" s="221"/>
    </row>
    <row r="126" spans="1:6" ht="15" customHeight="1">
      <c r="B126" s="453"/>
    </row>
    <row r="127" spans="1:6" ht="15" customHeight="1">
      <c r="A127" s="24" t="s">
        <v>4769</v>
      </c>
    </row>
    <row r="128" spans="1:6" ht="15" customHeight="1">
      <c r="A128" s="25" t="s">
        <v>3391</v>
      </c>
      <c r="B128" s="452" t="s">
        <v>2456</v>
      </c>
      <c r="C128" s="221" t="s">
        <v>4730</v>
      </c>
    </row>
    <row r="129" spans="1:8" ht="15" customHeight="1">
      <c r="A129" s="26" t="s">
        <v>2012</v>
      </c>
      <c r="B129" s="392" t="s">
        <v>2011</v>
      </c>
      <c r="C129" s="221" t="s">
        <v>4816</v>
      </c>
    </row>
    <row r="130" spans="1:8" ht="15" customHeight="1">
      <c r="A130" s="21" t="s">
        <v>4520</v>
      </c>
      <c r="B130" s="467" t="s">
        <v>4815</v>
      </c>
      <c r="C130" s="221"/>
    </row>
    <row r="131" spans="1:8" ht="15" customHeight="1">
      <c r="A131" s="21"/>
      <c r="B131" s="392"/>
    </row>
    <row r="132" spans="1:8" ht="15" customHeight="1">
      <c r="A132" s="488" t="s">
        <v>4518</v>
      </c>
      <c r="F132" s="448"/>
    </row>
    <row r="133" spans="1:8" ht="15" customHeight="1">
      <c r="A133" s="24" t="s">
        <v>4770</v>
      </c>
      <c r="F133" s="448"/>
    </row>
    <row r="134" spans="1:8" ht="15" customHeight="1">
      <c r="A134" s="291" t="s">
        <v>2697</v>
      </c>
      <c r="B134" s="291" t="s">
        <v>2698</v>
      </c>
      <c r="C134" s="291" t="s">
        <v>2699</v>
      </c>
      <c r="D134" s="291" t="s">
        <v>2700</v>
      </c>
      <c r="E134" s="291" t="s">
        <v>2701</v>
      </c>
      <c r="F134" s="291" t="s">
        <v>40</v>
      </c>
      <c r="G134" s="452" t="s">
        <v>2456</v>
      </c>
      <c r="H134" s="221" t="s">
        <v>4844</v>
      </c>
    </row>
    <row r="135" spans="1:8" ht="15" customHeight="1">
      <c r="A135" s="25" t="s">
        <v>2010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2011</v>
      </c>
      <c r="H135" s="221" t="s">
        <v>4836</v>
      </c>
    </row>
    <row r="136" spans="1:8" ht="15" customHeight="1">
      <c r="A136" s="26" t="s">
        <v>4837</v>
      </c>
      <c r="B136" s="26" t="s">
        <v>2056</v>
      </c>
      <c r="C136" s="26" t="s">
        <v>2022</v>
      </c>
      <c r="D136" s="26" t="s">
        <v>763</v>
      </c>
      <c r="E136" s="26" t="s">
        <v>3380</v>
      </c>
      <c r="F136" s="26" t="s">
        <v>2010</v>
      </c>
      <c r="G136" s="467" t="s">
        <v>4838</v>
      </c>
    </row>
    <row r="137" spans="1:8" ht="15" customHeight="1">
      <c r="A137" s="21" t="s">
        <v>2006</v>
      </c>
      <c r="B137" s="21" t="s">
        <v>4551</v>
      </c>
      <c r="C137" s="21" t="s">
        <v>3375</v>
      </c>
      <c r="D137" s="21" t="s">
        <v>2054</v>
      </c>
      <c r="E137" s="26" t="s">
        <v>2028</v>
      </c>
      <c r="F137" s="21" t="s">
        <v>2012</v>
      </c>
      <c r="G137" s="453"/>
    </row>
    <row r="138" spans="1:8" ht="15" customHeight="1">
      <c r="E138" s="26" t="s">
        <v>3384</v>
      </c>
    </row>
    <row r="139" spans="1:8" ht="15" customHeight="1">
      <c r="E139" s="26"/>
    </row>
    <row r="140" spans="1:8" ht="15" customHeight="1">
      <c r="A140" s="24" t="s">
        <v>4771</v>
      </c>
      <c r="F140" s="448"/>
    </row>
    <row r="141" spans="1:8" ht="15" customHeight="1">
      <c r="A141" s="291" t="s">
        <v>2697</v>
      </c>
      <c r="B141" s="291" t="s">
        <v>2698</v>
      </c>
      <c r="C141" s="291" t="s">
        <v>2699</v>
      </c>
      <c r="D141" s="291" t="s">
        <v>2700</v>
      </c>
      <c r="E141" s="291" t="s">
        <v>2701</v>
      </c>
      <c r="F141" s="291" t="s">
        <v>40</v>
      </c>
      <c r="G141" s="452" t="s">
        <v>2456</v>
      </c>
      <c r="H141" s="221" t="s">
        <v>4759</v>
      </c>
    </row>
    <row r="142" spans="1:8" ht="15" customHeight="1">
      <c r="A142" s="25" t="s">
        <v>2022</v>
      </c>
      <c r="B142" s="25" t="s">
        <v>749</v>
      </c>
      <c r="C142" s="25" t="s">
        <v>3374</v>
      </c>
      <c r="D142" s="25" t="s">
        <v>779</v>
      </c>
      <c r="E142" s="25" t="s">
        <v>1644</v>
      </c>
      <c r="F142" s="25" t="s">
        <v>143</v>
      </c>
      <c r="G142" s="392" t="s">
        <v>2011</v>
      </c>
      <c r="H142" s="221" t="s">
        <v>4845</v>
      </c>
    </row>
    <row r="143" spans="1:8" ht="15" customHeight="1">
      <c r="A143" s="26" t="s">
        <v>4839</v>
      </c>
      <c r="B143" s="26" t="s">
        <v>3407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7" t="s">
        <v>4840</v>
      </c>
    </row>
    <row r="144" spans="1:8" ht="15" customHeight="1">
      <c r="A144" s="21" t="s">
        <v>3385</v>
      </c>
      <c r="B144" s="21" t="s">
        <v>2027</v>
      </c>
      <c r="C144" s="21" t="s">
        <v>1</v>
      </c>
      <c r="D144" s="26" t="s">
        <v>31</v>
      </c>
      <c r="E144" s="21" t="s">
        <v>2034</v>
      </c>
      <c r="F144" s="21" t="s">
        <v>31</v>
      </c>
      <c r="G144" s="453"/>
    </row>
    <row r="145" spans="1:8" ht="15" customHeight="1">
      <c r="F145" s="18"/>
    </row>
    <row r="146" spans="1:8" ht="15" customHeight="1">
      <c r="A146" s="24" t="s">
        <v>4772</v>
      </c>
      <c r="F146" s="448"/>
    </row>
    <row r="147" spans="1:8" ht="15" customHeight="1">
      <c r="A147" s="291" t="s">
        <v>2697</v>
      </c>
      <c r="B147" s="291" t="s">
        <v>2698</v>
      </c>
      <c r="C147" s="291" t="s">
        <v>2699</v>
      </c>
      <c r="D147" s="291" t="s">
        <v>2700</v>
      </c>
      <c r="E147" s="291" t="s">
        <v>2701</v>
      </c>
      <c r="F147" s="291" t="s">
        <v>40</v>
      </c>
      <c r="G147" s="452" t="s">
        <v>2456</v>
      </c>
      <c r="H147" s="221" t="s">
        <v>4841</v>
      </c>
    </row>
    <row r="148" spans="1:8" ht="15" customHeight="1">
      <c r="A148" s="25" t="s">
        <v>2056</v>
      </c>
      <c r="B148" s="25" t="s">
        <v>2056</v>
      </c>
      <c r="C148" s="25" t="s">
        <v>2054</v>
      </c>
      <c r="D148" s="25" t="s">
        <v>1654</v>
      </c>
      <c r="E148" s="25" t="s">
        <v>3384</v>
      </c>
      <c r="F148" s="25" t="s">
        <v>2056</v>
      </c>
      <c r="G148" s="392" t="s">
        <v>2011</v>
      </c>
      <c r="H148" s="221" t="s">
        <v>4846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3382</v>
      </c>
      <c r="F149" s="26" t="s">
        <v>764</v>
      </c>
      <c r="G149" s="467" t="s">
        <v>4842</v>
      </c>
    </row>
    <row r="150" spans="1:8" ht="15" customHeight="1">
      <c r="A150" s="21" t="s">
        <v>2014</v>
      </c>
      <c r="B150" s="21" t="s">
        <v>1654</v>
      </c>
      <c r="C150" s="21" t="s">
        <v>2161</v>
      </c>
      <c r="D150" s="21" t="s">
        <v>3389</v>
      </c>
      <c r="E150" s="21" t="s">
        <v>180</v>
      </c>
      <c r="F150" s="21" t="s">
        <v>9</v>
      </c>
      <c r="G150" s="453"/>
    </row>
    <row r="151" spans="1:8" ht="15" customHeight="1"/>
    <row r="152" spans="1:8" ht="15" customHeight="1">
      <c r="A152" s="24" t="s">
        <v>4773</v>
      </c>
      <c r="D152" s="448"/>
      <c r="F152" s="448"/>
    </row>
    <row r="153" spans="1:8" ht="15" customHeight="1">
      <c r="A153" s="291" t="s">
        <v>2697</v>
      </c>
      <c r="B153" s="291" t="s">
        <v>2698</v>
      </c>
      <c r="C153" s="291" t="s">
        <v>2699</v>
      </c>
      <c r="D153" s="291" t="s">
        <v>40</v>
      </c>
      <c r="E153" s="452" t="s">
        <v>2456</v>
      </c>
      <c r="F153" s="221" t="s">
        <v>4847</v>
      </c>
      <c r="G153" s="124"/>
    </row>
    <row r="154" spans="1:8" ht="15" customHeight="1">
      <c r="A154" s="25" t="s">
        <v>763</v>
      </c>
      <c r="B154" s="25" t="s">
        <v>2022</v>
      </c>
      <c r="C154" s="25" t="s">
        <v>2030</v>
      </c>
      <c r="D154" s="25" t="s">
        <v>2030</v>
      </c>
      <c r="E154" s="392" t="s">
        <v>2011</v>
      </c>
      <c r="F154" s="221" t="s">
        <v>4848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7" t="s">
        <v>4843</v>
      </c>
    </row>
    <row r="156" spans="1:8" ht="15" customHeight="1">
      <c r="A156" s="21" t="s">
        <v>764</v>
      </c>
      <c r="B156" s="21" t="s">
        <v>764</v>
      </c>
      <c r="C156" s="26" t="s">
        <v>2022</v>
      </c>
      <c r="D156" s="21" t="s">
        <v>21</v>
      </c>
      <c r="E156" s="453"/>
      <c r="G156" s="1"/>
    </row>
    <row r="157" spans="1:8" ht="15" customHeight="1"/>
    <row r="158" spans="1:8" ht="15" customHeight="1">
      <c r="A158" s="488" t="s">
        <v>4519</v>
      </c>
      <c r="F158" s="448"/>
    </row>
    <row r="159" spans="1:8" ht="15" customHeight="1">
      <c r="A159" s="24" t="s">
        <v>4764</v>
      </c>
    </row>
    <row r="160" spans="1:8" ht="15" customHeight="1">
      <c r="A160" s="25" t="s">
        <v>1647</v>
      </c>
      <c r="B160" s="452" t="s">
        <v>2456</v>
      </c>
      <c r="C160" s="221" t="s">
        <v>4730</v>
      </c>
    </row>
    <row r="161" spans="1:11" ht="15" customHeight="1">
      <c r="A161" s="26" t="s">
        <v>779</v>
      </c>
      <c r="B161" s="392" t="s">
        <v>2011</v>
      </c>
      <c r="C161" s="221" t="s">
        <v>4887</v>
      </c>
    </row>
    <row r="162" spans="1:11" ht="15" customHeight="1">
      <c r="A162" s="21" t="s">
        <v>1659</v>
      </c>
      <c r="B162" s="467" t="s">
        <v>4886</v>
      </c>
    </row>
    <row r="163" spans="1:11" ht="15" customHeight="1">
      <c r="B163" s="453"/>
    </row>
    <row r="164" spans="1:11" ht="15" customHeight="1">
      <c r="A164" s="24" t="s">
        <v>4774</v>
      </c>
    </row>
    <row r="165" spans="1:11" ht="15" customHeight="1">
      <c r="A165" s="25" t="s">
        <v>3390</v>
      </c>
      <c r="B165" s="452" t="s">
        <v>2456</v>
      </c>
      <c r="C165" s="221" t="s">
        <v>4730</v>
      </c>
      <c r="F165" t="s">
        <v>4747</v>
      </c>
    </row>
    <row r="166" spans="1:11" ht="15" customHeight="1">
      <c r="A166" s="26" t="s">
        <v>1656</v>
      </c>
      <c r="B166" s="392" t="s">
        <v>2011</v>
      </c>
      <c r="C166" s="221" t="s">
        <v>4888</v>
      </c>
      <c r="G166" t="s">
        <v>4747</v>
      </c>
    </row>
    <row r="167" spans="1:11" ht="15" customHeight="1">
      <c r="A167" s="21" t="s">
        <v>3389</v>
      </c>
      <c r="B167" s="467" t="s">
        <v>4890</v>
      </c>
      <c r="C167" t="s">
        <v>4747</v>
      </c>
      <c r="G167" t="s">
        <v>4747</v>
      </c>
    </row>
    <row r="168" spans="1:11" ht="15" customHeight="1">
      <c r="B168" s="453"/>
    </row>
    <row r="169" spans="1:11" ht="15" customHeight="1">
      <c r="A169" s="24" t="s">
        <v>4830</v>
      </c>
      <c r="F169" t="s">
        <v>4747</v>
      </c>
    </row>
    <row r="170" spans="1:11" ht="15" customHeight="1">
      <c r="A170" s="25" t="s">
        <v>3385</v>
      </c>
      <c r="B170" s="452" t="s">
        <v>2456</v>
      </c>
      <c r="C170" s="221" t="s">
        <v>4730</v>
      </c>
    </row>
    <row r="171" spans="1:11" ht="15" customHeight="1">
      <c r="A171" s="26" t="s">
        <v>1657</v>
      </c>
      <c r="B171" s="392" t="s">
        <v>2011</v>
      </c>
      <c r="C171" s="221" t="s">
        <v>4889</v>
      </c>
    </row>
    <row r="172" spans="1:11" ht="15" customHeight="1">
      <c r="A172" s="21" t="s">
        <v>1647</v>
      </c>
      <c r="B172" s="467" t="s">
        <v>4891</v>
      </c>
    </row>
    <row r="173" spans="1:11" ht="15" customHeight="1">
      <c r="B173" s="453"/>
    </row>
    <row r="174" spans="1:11" ht="15" customHeight="1">
      <c r="A174" s="24" t="s">
        <v>4775</v>
      </c>
    </row>
    <row r="175" spans="1:11" ht="15" customHeight="1">
      <c r="A175" s="291" t="s">
        <v>2697</v>
      </c>
      <c r="B175" s="291" t="s">
        <v>2698</v>
      </c>
      <c r="C175" s="291" t="s">
        <v>2699</v>
      </c>
      <c r="D175" s="291" t="s">
        <v>2700</v>
      </c>
      <c r="E175" s="291" t="s">
        <v>2701</v>
      </c>
      <c r="F175" s="291" t="s">
        <v>2702</v>
      </c>
      <c r="G175" s="291" t="s">
        <v>2703</v>
      </c>
      <c r="H175" s="291" t="s">
        <v>2704</v>
      </c>
      <c r="I175" s="291" t="s">
        <v>40</v>
      </c>
      <c r="J175" s="452" t="s">
        <v>2456</v>
      </c>
      <c r="K175" s="221" t="s">
        <v>4893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2028</v>
      </c>
      <c r="E176" s="25" t="s">
        <v>3379</v>
      </c>
      <c r="F176" s="25" t="s">
        <v>2014</v>
      </c>
      <c r="G176" s="25" t="s">
        <v>2028</v>
      </c>
      <c r="H176" s="25" t="s">
        <v>1654</v>
      </c>
      <c r="I176" s="25" t="s">
        <v>1654</v>
      </c>
      <c r="J176" s="392" t="s">
        <v>2011</v>
      </c>
      <c r="K176" s="221" t="s">
        <v>4894</v>
      </c>
    </row>
    <row r="177" spans="1:10" ht="15" customHeight="1">
      <c r="A177" s="26" t="s">
        <v>33</v>
      </c>
      <c r="B177" s="26" t="s">
        <v>33</v>
      </c>
      <c r="C177" s="25" t="s">
        <v>3373</v>
      </c>
      <c r="D177" s="26" t="s">
        <v>746</v>
      </c>
      <c r="E177" s="26" t="s">
        <v>162</v>
      </c>
      <c r="F177" s="26" t="s">
        <v>3379</v>
      </c>
      <c r="G177" s="26" t="s">
        <v>746</v>
      </c>
      <c r="H177" s="25" t="s">
        <v>3373</v>
      </c>
      <c r="I177" s="26" t="s">
        <v>3373</v>
      </c>
      <c r="J177" s="467" t="s">
        <v>4892</v>
      </c>
    </row>
    <row r="178" spans="1:10" ht="15" customHeight="1">
      <c r="A178" s="26" t="s">
        <v>749</v>
      </c>
      <c r="B178" s="26" t="s">
        <v>749</v>
      </c>
      <c r="C178" s="21" t="s">
        <v>4884</v>
      </c>
      <c r="D178" s="21" t="s">
        <v>771</v>
      </c>
      <c r="E178" s="21" t="s">
        <v>3381</v>
      </c>
      <c r="F178" s="21" t="s">
        <v>162</v>
      </c>
      <c r="G178" s="21" t="s">
        <v>771</v>
      </c>
      <c r="H178" s="21" t="s">
        <v>4558</v>
      </c>
      <c r="I178" s="21" t="s">
        <v>3379</v>
      </c>
      <c r="J178" s="453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2031</v>
      </c>
      <c r="B180" s="26" t="s">
        <v>2031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4747</v>
      </c>
      <c r="D181" s="21"/>
      <c r="E181" s="21"/>
      <c r="F181" s="21"/>
      <c r="G181" s="21"/>
      <c r="H181" s="21" t="s">
        <v>4747</v>
      </c>
      <c r="I181" s="21"/>
      <c r="J181" s="1"/>
    </row>
    <row r="182" spans="1:10" ht="15" customHeight="1">
      <c r="A182" s="24" t="s">
        <v>4776</v>
      </c>
      <c r="E182" s="448"/>
    </row>
    <row r="183" spans="1:10" ht="15" customHeight="1">
      <c r="A183" s="291" t="s">
        <v>2697</v>
      </c>
      <c r="B183" s="291" t="s">
        <v>2698</v>
      </c>
      <c r="C183" s="291" t="s">
        <v>2699</v>
      </c>
      <c r="D183" s="291" t="s">
        <v>2700</v>
      </c>
      <c r="E183" s="291" t="s">
        <v>40</v>
      </c>
      <c r="F183" s="452" t="s">
        <v>2456</v>
      </c>
      <c r="G183" s="221" t="s">
        <v>4896</v>
      </c>
    </row>
    <row r="184" spans="1:10" ht="15" customHeight="1">
      <c r="A184" s="25" t="s">
        <v>4558</v>
      </c>
      <c r="B184" s="25" t="s">
        <v>1</v>
      </c>
      <c r="C184" s="25" t="s">
        <v>155</v>
      </c>
      <c r="D184" s="25" t="s">
        <v>3394</v>
      </c>
      <c r="E184" s="25" t="s">
        <v>155</v>
      </c>
      <c r="F184" s="392" t="s">
        <v>2011</v>
      </c>
      <c r="G184" s="221" t="s">
        <v>4897</v>
      </c>
    </row>
    <row r="185" spans="1:10" ht="15" customHeight="1">
      <c r="A185" s="26" t="s">
        <v>4558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7" t="s">
        <v>4895</v>
      </c>
    </row>
    <row r="186" spans="1:10" ht="15" customHeight="1">
      <c r="A186" s="21" t="s">
        <v>4558</v>
      </c>
      <c r="B186" s="21" t="s">
        <v>749</v>
      </c>
      <c r="C186" s="21" t="s">
        <v>749</v>
      </c>
      <c r="D186" s="21" t="s">
        <v>4885</v>
      </c>
      <c r="E186" s="21" t="s">
        <v>1</v>
      </c>
      <c r="F186" s="453"/>
    </row>
    <row r="187" spans="1:10" ht="15" customHeight="1"/>
    <row r="188" spans="1:10" ht="15" customHeight="1">
      <c r="A188" s="505" t="s">
        <v>4777</v>
      </c>
      <c r="B188" s="506"/>
    </row>
    <row r="189" spans="1:10" ht="15" customHeight="1">
      <c r="A189" s="25" t="s">
        <v>1656</v>
      </c>
      <c r="B189" s="452" t="s">
        <v>2456</v>
      </c>
      <c r="C189" s="221" t="s">
        <v>4730</v>
      </c>
      <c r="F189" s="448"/>
    </row>
    <row r="190" spans="1:10" ht="15" customHeight="1">
      <c r="A190" s="26" t="s">
        <v>3391</v>
      </c>
      <c r="B190" s="392" t="s">
        <v>4520</v>
      </c>
      <c r="C190" s="221" t="s">
        <v>4898</v>
      </c>
    </row>
    <row r="191" spans="1:10" ht="15" customHeight="1">
      <c r="A191" s="21" t="s">
        <v>796</v>
      </c>
      <c r="B191" s="467" t="s">
        <v>4135</v>
      </c>
      <c r="F191" s="18"/>
    </row>
    <row r="192" spans="1:10" ht="15" customHeight="1">
      <c r="B192" s="453"/>
    </row>
    <row r="193" spans="1:10" ht="15" customHeight="1">
      <c r="A193" s="505" t="s">
        <v>4778</v>
      </c>
      <c r="B193" s="506"/>
    </row>
    <row r="194" spans="1:10" ht="15" customHeight="1">
      <c r="A194" s="291" t="s">
        <v>2697</v>
      </c>
      <c r="B194" s="291" t="s">
        <v>2698</v>
      </c>
      <c r="C194" s="291" t="s">
        <v>2699</v>
      </c>
      <c r="D194" s="291" t="s">
        <v>2700</v>
      </c>
      <c r="E194" s="291" t="s">
        <v>2701</v>
      </c>
      <c r="F194" s="291" t="s">
        <v>2702</v>
      </c>
      <c r="G194" s="291" t="s">
        <v>2703</v>
      </c>
      <c r="H194" s="291" t="s">
        <v>40</v>
      </c>
      <c r="I194" s="452" t="s">
        <v>2456</v>
      </c>
      <c r="J194" s="221" t="s">
        <v>4728</v>
      </c>
    </row>
    <row r="195" spans="1:10" ht="15" customHeight="1">
      <c r="A195" s="25" t="s">
        <v>3383</v>
      </c>
      <c r="B195" s="25" t="s">
        <v>4558</v>
      </c>
      <c r="C195" s="25" t="s">
        <v>763</v>
      </c>
      <c r="D195" s="25" t="s">
        <v>3383</v>
      </c>
      <c r="E195" s="25" t="s">
        <v>1657</v>
      </c>
      <c r="F195" s="25" t="s">
        <v>3383</v>
      </c>
      <c r="G195" s="25" t="s">
        <v>23</v>
      </c>
      <c r="H195" s="25" t="s">
        <v>37</v>
      </c>
      <c r="I195" s="392" t="s">
        <v>37</v>
      </c>
      <c r="J195" s="221" t="s">
        <v>4899</v>
      </c>
    </row>
    <row r="196" spans="1:10" ht="15" customHeight="1">
      <c r="A196" s="26" t="s">
        <v>3382</v>
      </c>
      <c r="B196" s="26" t="s">
        <v>4558</v>
      </c>
      <c r="C196" s="26" t="s">
        <v>2034</v>
      </c>
      <c r="D196" s="26" t="s">
        <v>762</v>
      </c>
      <c r="E196" s="26" t="s">
        <v>3383</v>
      </c>
      <c r="F196" s="26" t="s">
        <v>1656</v>
      </c>
      <c r="G196" s="26" t="s">
        <v>764</v>
      </c>
      <c r="H196" s="26" t="s">
        <v>33</v>
      </c>
      <c r="I196" s="467" t="s">
        <v>4135</v>
      </c>
    </row>
    <row r="197" spans="1:10" ht="15" customHeight="1">
      <c r="A197" s="21" t="s">
        <v>1653</v>
      </c>
      <c r="B197" s="21" t="s">
        <v>4558</v>
      </c>
      <c r="C197" s="21" t="s">
        <v>764</v>
      </c>
      <c r="D197" s="21" t="s">
        <v>733</v>
      </c>
      <c r="E197" s="21" t="s">
        <v>2010</v>
      </c>
      <c r="F197" s="21" t="s">
        <v>790</v>
      </c>
      <c r="G197" s="21" t="s">
        <v>3405</v>
      </c>
      <c r="H197" s="21" t="s">
        <v>3403</v>
      </c>
      <c r="I197" s="453"/>
    </row>
    <row r="198" spans="1:10" ht="15" customHeight="1">
      <c r="A198" s="21"/>
      <c r="F198" s="448"/>
      <c r="I198" s="1"/>
    </row>
    <row r="199" spans="1:10" ht="15" customHeight="1">
      <c r="A199" s="488" t="s">
        <v>4571</v>
      </c>
    </row>
    <row r="200" spans="1:10" ht="15" customHeight="1">
      <c r="A200" s="24" t="s">
        <v>4779</v>
      </c>
    </row>
    <row r="201" spans="1:10" ht="15" customHeight="1">
      <c r="A201" s="25" t="s">
        <v>3384</v>
      </c>
      <c r="B201" s="452" t="s">
        <v>2456</v>
      </c>
      <c r="C201" s="221" t="s">
        <v>4730</v>
      </c>
    </row>
    <row r="202" spans="1:10" ht="15" customHeight="1">
      <c r="A202" s="26" t="s">
        <v>1656</v>
      </c>
      <c r="B202" s="392" t="s">
        <v>37</v>
      </c>
      <c r="C202" t="s">
        <v>4942</v>
      </c>
    </row>
    <row r="203" spans="1:10" ht="15" customHeight="1">
      <c r="A203" s="21" t="s">
        <v>2015</v>
      </c>
      <c r="B203" s="467" t="s">
        <v>4576</v>
      </c>
    </row>
    <row r="204" spans="1:10" ht="15" customHeight="1">
      <c r="B204" s="453"/>
    </row>
    <row r="205" spans="1:10" ht="15" customHeight="1">
      <c r="A205" s="24" t="s">
        <v>4780</v>
      </c>
    </row>
    <row r="206" spans="1:10" ht="15" customHeight="1">
      <c r="A206" s="25" t="s">
        <v>15</v>
      </c>
      <c r="B206" s="452" t="s">
        <v>2456</v>
      </c>
      <c r="C206" s="221" t="s">
        <v>4730</v>
      </c>
    </row>
    <row r="207" spans="1:10" ht="15" customHeight="1">
      <c r="A207" s="26" t="s">
        <v>764</v>
      </c>
      <c r="B207" s="392" t="s">
        <v>37</v>
      </c>
      <c r="C207" t="s">
        <v>4943</v>
      </c>
    </row>
    <row r="208" spans="1:10" ht="15" customHeight="1">
      <c r="A208" s="21" t="s">
        <v>2022</v>
      </c>
      <c r="B208" s="467" t="s">
        <v>4577</v>
      </c>
      <c r="F208" s="448"/>
    </row>
    <row r="209" spans="1:6" ht="15" customHeight="1">
      <c r="B209" s="453"/>
    </row>
    <row r="210" spans="1:6" ht="15" customHeight="1">
      <c r="A210" s="24" t="s">
        <v>4781</v>
      </c>
      <c r="F210" s="18"/>
    </row>
    <row r="211" spans="1:6" ht="15" customHeight="1">
      <c r="A211" s="25" t="s">
        <v>790</v>
      </c>
      <c r="B211" s="452" t="s">
        <v>2456</v>
      </c>
      <c r="C211" s="221" t="s">
        <v>4730</v>
      </c>
    </row>
    <row r="212" spans="1:6" ht="15" customHeight="1">
      <c r="A212" s="26" t="s">
        <v>37</v>
      </c>
      <c r="B212" s="392" t="s">
        <v>37</v>
      </c>
      <c r="C212" t="s">
        <v>4944</v>
      </c>
    </row>
    <row r="213" spans="1:6" ht="15" customHeight="1">
      <c r="A213" s="21" t="s">
        <v>2011</v>
      </c>
      <c r="B213" s="467" t="s">
        <v>4578</v>
      </c>
    </row>
    <row r="214" spans="1:6" ht="15" customHeight="1">
      <c r="B214" s="453"/>
    </row>
    <row r="215" spans="1:6" ht="15" customHeight="1">
      <c r="A215" s="24" t="s">
        <v>4782</v>
      </c>
    </row>
    <row r="216" spans="1:6" ht="15" customHeight="1">
      <c r="A216" s="25" t="s">
        <v>790</v>
      </c>
      <c r="B216" s="452" t="s">
        <v>2456</v>
      </c>
      <c r="C216" s="221" t="s">
        <v>4730</v>
      </c>
      <c r="F216" s="448"/>
    </row>
    <row r="217" spans="1:6" ht="15" customHeight="1">
      <c r="A217" s="26" t="s">
        <v>1656</v>
      </c>
      <c r="B217" s="392" t="s">
        <v>37</v>
      </c>
      <c r="C217" t="s">
        <v>4945</v>
      </c>
    </row>
    <row r="218" spans="1:6" ht="15" customHeight="1">
      <c r="A218" s="21" t="s">
        <v>153</v>
      </c>
      <c r="B218" s="467" t="s">
        <v>4582</v>
      </c>
      <c r="F218" s="18"/>
    </row>
    <row r="219" spans="1:6" ht="15" customHeight="1">
      <c r="B219" s="453"/>
    </row>
    <row r="220" spans="1:6" ht="15" customHeight="1">
      <c r="A220" s="505" t="s">
        <v>4783</v>
      </c>
      <c r="B220" s="506"/>
    </row>
    <row r="221" spans="1:6" ht="15" customHeight="1">
      <c r="A221" s="25" t="s">
        <v>13</v>
      </c>
      <c r="B221" s="452" t="s">
        <v>2456</v>
      </c>
      <c r="C221" s="221" t="s">
        <v>4730</v>
      </c>
      <c r="F221" s="448"/>
    </row>
    <row r="222" spans="1:6" ht="15" customHeight="1">
      <c r="A222" s="26" t="s">
        <v>11</v>
      </c>
      <c r="B222" s="392" t="s">
        <v>37</v>
      </c>
      <c r="C222" t="s">
        <v>4946</v>
      </c>
    </row>
    <row r="223" spans="1:6" ht="15" customHeight="1">
      <c r="A223" s="21" t="s">
        <v>15</v>
      </c>
      <c r="B223" s="467" t="s">
        <v>4584</v>
      </c>
      <c r="F223" s="18"/>
    </row>
    <row r="224" spans="1:6" ht="15" customHeight="1">
      <c r="B224" s="453"/>
    </row>
    <row r="225" spans="1:11" ht="15" customHeight="1">
      <c r="A225" s="488" t="s">
        <v>4572</v>
      </c>
    </row>
    <row r="226" spans="1:11" ht="15" customHeight="1">
      <c r="A226" s="24" t="s">
        <v>4784</v>
      </c>
      <c r="F226" s="448"/>
    </row>
    <row r="227" spans="1:11" ht="15" customHeight="1">
      <c r="A227" s="25" t="s">
        <v>790</v>
      </c>
      <c r="B227" s="452" t="s">
        <v>2456</v>
      </c>
      <c r="C227" s="221" t="s">
        <v>4730</v>
      </c>
    </row>
    <row r="228" spans="1:11" ht="15" customHeight="1">
      <c r="A228" s="26" t="s">
        <v>37</v>
      </c>
      <c r="B228" s="392" t="s">
        <v>37</v>
      </c>
      <c r="C228" t="s">
        <v>4959</v>
      </c>
      <c r="F228" s="18"/>
    </row>
    <row r="229" spans="1:11" ht="15" customHeight="1">
      <c r="A229" s="21" t="s">
        <v>1653</v>
      </c>
      <c r="B229" s="467" t="s">
        <v>4586</v>
      </c>
      <c r="E229" t="s">
        <v>4747</v>
      </c>
      <c r="I229" t="s">
        <v>4747</v>
      </c>
    </row>
    <row r="230" spans="1:11" ht="15" customHeight="1">
      <c r="B230" s="453"/>
    </row>
    <row r="231" spans="1:11" ht="15" customHeight="1">
      <c r="A231" s="505" t="s">
        <v>4785</v>
      </c>
      <c r="B231" s="506"/>
    </row>
    <row r="232" spans="1:11" ht="15" customHeight="1">
      <c r="A232" s="291" t="s">
        <v>2697</v>
      </c>
      <c r="B232" s="291" t="s">
        <v>2698</v>
      </c>
      <c r="C232" s="291" t="s">
        <v>2699</v>
      </c>
      <c r="D232" s="291" t="s">
        <v>2700</v>
      </c>
      <c r="E232" s="291" t="s">
        <v>2701</v>
      </c>
      <c r="F232" s="291" t="s">
        <v>2702</v>
      </c>
      <c r="G232" s="291" t="s">
        <v>2703</v>
      </c>
      <c r="H232" s="291" t="s">
        <v>2704</v>
      </c>
      <c r="I232" s="291" t="s">
        <v>40</v>
      </c>
      <c r="J232" s="452" t="s">
        <v>2456</v>
      </c>
      <c r="K232" s="221" t="s">
        <v>4728</v>
      </c>
    </row>
    <row r="233" spans="1:11" ht="15" customHeight="1">
      <c r="A233" s="25" t="s">
        <v>3383</v>
      </c>
      <c r="B233" s="25" t="s">
        <v>3383</v>
      </c>
      <c r="C233" s="25" t="s">
        <v>4558</v>
      </c>
      <c r="D233" s="25" t="s">
        <v>1647</v>
      </c>
      <c r="E233" s="25" t="s">
        <v>3383</v>
      </c>
      <c r="F233" s="25" t="s">
        <v>4558</v>
      </c>
      <c r="G233" s="25" t="s">
        <v>1137</v>
      </c>
      <c r="H233" s="25" t="s">
        <v>800</v>
      </c>
      <c r="I233" s="25" t="s">
        <v>2012</v>
      </c>
      <c r="J233" s="392" t="s">
        <v>37</v>
      </c>
      <c r="K233" t="s">
        <v>4960</v>
      </c>
    </row>
    <row r="234" spans="1:11" ht="15" customHeight="1">
      <c r="A234" s="26" t="s">
        <v>153</v>
      </c>
      <c r="B234" s="26" t="s">
        <v>748</v>
      </c>
      <c r="C234" s="26" t="s">
        <v>4558</v>
      </c>
      <c r="D234" s="26" t="s">
        <v>155</v>
      </c>
      <c r="E234" s="26" t="s">
        <v>1653</v>
      </c>
      <c r="F234" s="26" t="s">
        <v>4558</v>
      </c>
      <c r="G234" s="26" t="s">
        <v>800</v>
      </c>
      <c r="H234" s="26" t="s">
        <v>746</v>
      </c>
      <c r="I234" s="26" t="s">
        <v>2010</v>
      </c>
      <c r="J234" s="467" t="s">
        <v>4592</v>
      </c>
    </row>
    <row r="235" spans="1:11" ht="15" customHeight="1">
      <c r="A235" s="21" t="s">
        <v>1659</v>
      </c>
      <c r="B235" s="21" t="s">
        <v>153</v>
      </c>
      <c r="C235" s="21" t="s">
        <v>4558</v>
      </c>
      <c r="D235" s="21" t="s">
        <v>2010</v>
      </c>
      <c r="E235" s="21" t="s">
        <v>3382</v>
      </c>
      <c r="F235" s="21" t="s">
        <v>4558</v>
      </c>
      <c r="G235" s="21" t="s">
        <v>2012</v>
      </c>
      <c r="H235" s="21" t="s">
        <v>2012</v>
      </c>
      <c r="I235" s="21" t="s">
        <v>800</v>
      </c>
      <c r="J235" s="453"/>
    </row>
    <row r="236" spans="1:11" ht="15" customHeight="1">
      <c r="A236" s="39"/>
      <c r="F236" s="448"/>
    </row>
    <row r="237" spans="1:11" ht="15" customHeight="1">
      <c r="A237" s="505" t="s">
        <v>4786</v>
      </c>
      <c r="B237" s="506"/>
    </row>
    <row r="238" spans="1:11" ht="15" customHeight="1">
      <c r="A238" s="291" t="s">
        <v>2697</v>
      </c>
      <c r="B238" s="291" t="s">
        <v>2698</v>
      </c>
      <c r="C238" s="291" t="s">
        <v>2699</v>
      </c>
      <c r="D238" s="291" t="s">
        <v>2700</v>
      </c>
      <c r="E238" s="291" t="s">
        <v>2701</v>
      </c>
      <c r="F238" s="291" t="s">
        <v>2702</v>
      </c>
      <c r="G238" s="291" t="s">
        <v>2703</v>
      </c>
      <c r="H238" s="291" t="s">
        <v>40</v>
      </c>
      <c r="I238" s="452" t="s">
        <v>2456</v>
      </c>
      <c r="J238" s="221" t="s">
        <v>4729</v>
      </c>
    </row>
    <row r="239" spans="1:11" ht="15" customHeight="1">
      <c r="A239" s="25" t="s">
        <v>3375</v>
      </c>
      <c r="B239" s="25" t="s">
        <v>1657</v>
      </c>
      <c r="C239" s="25" t="s">
        <v>762</v>
      </c>
      <c r="D239" s="25" t="s">
        <v>141</v>
      </c>
      <c r="E239" s="25" t="s">
        <v>4957</v>
      </c>
      <c r="F239" s="25" t="s">
        <v>4958</v>
      </c>
      <c r="G239" s="25" t="s">
        <v>153</v>
      </c>
      <c r="H239" s="25" t="s">
        <v>733</v>
      </c>
      <c r="I239" s="392" t="s">
        <v>37</v>
      </c>
      <c r="J239" t="s">
        <v>4961</v>
      </c>
    </row>
    <row r="240" spans="1:11" ht="15" customHeight="1">
      <c r="A240" s="26" t="s">
        <v>2011</v>
      </c>
      <c r="B240" s="26" t="s">
        <v>3388</v>
      </c>
      <c r="C240" s="26" t="s">
        <v>790</v>
      </c>
      <c r="D240" s="26" t="s">
        <v>9</v>
      </c>
      <c r="E240" s="26" t="s">
        <v>3393</v>
      </c>
      <c r="F240" s="26" t="s">
        <v>1662</v>
      </c>
      <c r="G240" s="26" t="s">
        <v>1656</v>
      </c>
      <c r="H240" s="26" t="s">
        <v>141</v>
      </c>
      <c r="I240" s="467" t="s">
        <v>4603</v>
      </c>
    </row>
    <row r="241" spans="1:9" ht="15" customHeight="1">
      <c r="A241" s="21" t="s">
        <v>3385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3383</v>
      </c>
      <c r="H241" s="21" t="s">
        <v>1644</v>
      </c>
      <c r="I241" s="453"/>
    </row>
    <row r="242" spans="1:9" ht="15" customHeight="1"/>
    <row r="243" spans="1:9" ht="15" customHeight="1">
      <c r="A243" s="488" t="s">
        <v>4573</v>
      </c>
      <c r="F243" s="18"/>
    </row>
    <row r="244" spans="1:9" ht="15" customHeight="1">
      <c r="A244" s="24" t="s">
        <v>4787</v>
      </c>
    </row>
    <row r="245" spans="1:9" ht="15" customHeight="1">
      <c r="A245" s="25" t="s">
        <v>3376</v>
      </c>
      <c r="B245" s="452" t="s">
        <v>2456</v>
      </c>
      <c r="C245" s="221" t="s">
        <v>4730</v>
      </c>
    </row>
    <row r="246" spans="1:9" ht="15" customHeight="1">
      <c r="A246" s="26" t="s">
        <v>2161</v>
      </c>
      <c r="B246" s="392" t="s">
        <v>37</v>
      </c>
      <c r="C246" t="s">
        <v>4963</v>
      </c>
      <c r="F246" s="448"/>
    </row>
    <row r="247" spans="1:9" ht="15" customHeight="1">
      <c r="A247" s="21" t="s">
        <v>153</v>
      </c>
      <c r="B247" s="467" t="s">
        <v>4618</v>
      </c>
    </row>
    <row r="248" spans="1:9" ht="15" customHeight="1">
      <c r="B248" s="453"/>
      <c r="F248" s="18"/>
    </row>
    <row r="249" spans="1:9" ht="15" customHeight="1">
      <c r="A249" s="24" t="s">
        <v>4788</v>
      </c>
    </row>
    <row r="250" spans="1:9" ht="15" customHeight="1">
      <c r="A250" s="25" t="s">
        <v>796</v>
      </c>
      <c r="B250" s="452" t="s">
        <v>2456</v>
      </c>
      <c r="C250" s="221" t="s">
        <v>4730</v>
      </c>
    </row>
    <row r="251" spans="1:9" ht="15" customHeight="1">
      <c r="A251" s="26" t="s">
        <v>3387</v>
      </c>
      <c r="B251" s="392" t="s">
        <v>37</v>
      </c>
      <c r="C251" t="s">
        <v>4964</v>
      </c>
      <c r="F251" s="448"/>
    </row>
    <row r="252" spans="1:9" ht="15" customHeight="1">
      <c r="A252" s="21" t="s">
        <v>790</v>
      </c>
      <c r="B252" s="467" t="s">
        <v>4620</v>
      </c>
      <c r="D252" t="s">
        <v>4747</v>
      </c>
    </row>
    <row r="253" spans="1:9" ht="15" customHeight="1">
      <c r="B253" s="453"/>
      <c r="F253" s="18"/>
    </row>
    <row r="254" spans="1:9" ht="15" customHeight="1">
      <c r="A254" s="24" t="s">
        <v>4789</v>
      </c>
    </row>
    <row r="255" spans="1:9" ht="15" customHeight="1">
      <c r="A255" s="25" t="s">
        <v>2057</v>
      </c>
      <c r="B255" s="452" t="s">
        <v>2456</v>
      </c>
      <c r="C255" s="221" t="s">
        <v>4965</v>
      </c>
      <c r="D255" t="s">
        <v>4747</v>
      </c>
    </row>
    <row r="256" spans="1:9" ht="15" customHeight="1">
      <c r="A256" s="26" t="s">
        <v>733</v>
      </c>
      <c r="B256" s="392" t="s">
        <v>37</v>
      </c>
      <c r="C256" t="s">
        <v>4966</v>
      </c>
      <c r="F256" s="448"/>
    </row>
    <row r="257" spans="1:6" ht="15" customHeight="1">
      <c r="A257" s="21" t="s">
        <v>3383</v>
      </c>
      <c r="B257" s="467" t="s">
        <v>4761</v>
      </c>
      <c r="F257" s="448"/>
    </row>
    <row r="258" spans="1:6" ht="15" customHeight="1">
      <c r="A258" s="21" t="s">
        <v>762</v>
      </c>
      <c r="B258" s="452"/>
      <c r="F258" s="448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4931</v>
      </c>
    </row>
    <row r="262" spans="1:6" ht="15" customHeight="1">
      <c r="A262" s="25" t="s">
        <v>2007</v>
      </c>
      <c r="B262" s="452" t="s">
        <v>2456</v>
      </c>
      <c r="C262" s="221" t="s">
        <v>4733</v>
      </c>
    </row>
    <row r="263" spans="1:6" ht="15" customHeight="1">
      <c r="A263" s="26" t="s">
        <v>153</v>
      </c>
      <c r="B263" s="392" t="s">
        <v>37</v>
      </c>
      <c r="C263" t="s">
        <v>4967</v>
      </c>
      <c r="D263" t="s">
        <v>4747</v>
      </c>
    </row>
    <row r="264" spans="1:6" ht="15" customHeight="1">
      <c r="A264" s="21" t="s">
        <v>143</v>
      </c>
      <c r="B264" s="467" t="s">
        <v>4762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4932</v>
      </c>
    </row>
    <row r="268" spans="1:6" ht="15" customHeight="1">
      <c r="A268" s="25" t="s">
        <v>1652</v>
      </c>
      <c r="B268" s="452" t="s">
        <v>2456</v>
      </c>
      <c r="C268" s="221" t="s">
        <v>4968</v>
      </c>
    </row>
    <row r="269" spans="1:6" ht="15" customHeight="1">
      <c r="A269" s="26" t="s">
        <v>153</v>
      </c>
      <c r="B269" s="392" t="s">
        <v>37</v>
      </c>
      <c r="C269" t="s">
        <v>4969</v>
      </c>
      <c r="F269" s="448"/>
    </row>
    <row r="270" spans="1:6" ht="15" customHeight="1">
      <c r="A270" s="26" t="s">
        <v>31</v>
      </c>
      <c r="B270" s="467" t="s">
        <v>4763</v>
      </c>
    </row>
    <row r="271" spans="1:6" ht="15" customHeight="1">
      <c r="B271" s="453"/>
      <c r="D271" t="s">
        <v>4747</v>
      </c>
      <c r="F271" s="18"/>
    </row>
    <row r="272" spans="1:6" ht="15" customHeight="1">
      <c r="A272" s="24" t="s">
        <v>4933</v>
      </c>
      <c r="D272" t="s">
        <v>4747</v>
      </c>
    </row>
    <row r="273" spans="1:8" ht="15" customHeight="1">
      <c r="A273" s="25" t="s">
        <v>753</v>
      </c>
      <c r="B273" s="452" t="s">
        <v>2456</v>
      </c>
      <c r="C273" s="221" t="s">
        <v>4970</v>
      </c>
    </row>
    <row r="274" spans="1:8" ht="15" customHeight="1">
      <c r="A274" s="26" t="s">
        <v>3405</v>
      </c>
      <c r="B274" s="392" t="s">
        <v>37</v>
      </c>
      <c r="C274" t="s">
        <v>4971</v>
      </c>
      <c r="F274" s="448"/>
    </row>
    <row r="275" spans="1:8" ht="15" customHeight="1">
      <c r="A275" s="26" t="s">
        <v>3381</v>
      </c>
      <c r="B275" s="467" t="s">
        <v>4802</v>
      </c>
      <c r="F275" s="448"/>
    </row>
    <row r="276" spans="1:8" ht="15" customHeight="1">
      <c r="A276" s="26" t="s">
        <v>3390</v>
      </c>
      <c r="B276" s="452"/>
      <c r="F276" s="448"/>
    </row>
    <row r="277" spans="1:8" ht="15" customHeight="1">
      <c r="A277" s="26" t="s">
        <v>771</v>
      </c>
      <c r="E277" t="s">
        <v>4747</v>
      </c>
    </row>
    <row r="278" spans="1:8" ht="15" customHeight="1">
      <c r="B278" s="1"/>
      <c r="F278" s="18"/>
    </row>
    <row r="279" spans="1:8" ht="15" customHeight="1">
      <c r="A279" s="24" t="s">
        <v>4934</v>
      </c>
    </row>
    <row r="280" spans="1:8" ht="15" customHeight="1">
      <c r="A280" s="25" t="s">
        <v>2028</v>
      </c>
      <c r="B280" s="452" t="s">
        <v>2456</v>
      </c>
      <c r="C280" s="221" t="s">
        <v>4730</v>
      </c>
    </row>
    <row r="281" spans="1:8" ht="15" customHeight="1">
      <c r="A281" s="26" t="s">
        <v>746</v>
      </c>
      <c r="B281" s="392" t="s">
        <v>37</v>
      </c>
      <c r="C281" t="s">
        <v>4972</v>
      </c>
      <c r="F281" s="448"/>
    </row>
    <row r="282" spans="1:8" ht="15" customHeight="1">
      <c r="A282" s="21" t="s">
        <v>771</v>
      </c>
      <c r="B282" s="467" t="s">
        <v>4803</v>
      </c>
    </row>
    <row r="283" spans="1:8" ht="15" customHeight="1">
      <c r="B283" s="453"/>
      <c r="F283" s="18"/>
    </row>
    <row r="284" spans="1:8" ht="15" customHeight="1">
      <c r="A284" s="24" t="s">
        <v>4935</v>
      </c>
      <c r="F284" s="448"/>
    </row>
    <row r="285" spans="1:8" ht="15" customHeight="1">
      <c r="A285" s="291" t="s">
        <v>2697</v>
      </c>
      <c r="B285" s="291" t="s">
        <v>2698</v>
      </c>
      <c r="C285" s="291" t="s">
        <v>2699</v>
      </c>
      <c r="D285" s="291" t="s">
        <v>2700</v>
      </c>
      <c r="E285" s="291" t="s">
        <v>2701</v>
      </c>
      <c r="F285" s="291" t="s">
        <v>40</v>
      </c>
      <c r="G285" s="452" t="s">
        <v>2456</v>
      </c>
      <c r="H285" s="221" t="s">
        <v>4994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4558</v>
      </c>
      <c r="F286" s="25" t="s">
        <v>1659</v>
      </c>
      <c r="G286" s="392" t="s">
        <v>37</v>
      </c>
      <c r="H286" t="s">
        <v>4995</v>
      </c>
    </row>
    <row r="287" spans="1:8" ht="15" customHeight="1">
      <c r="A287" s="26" t="s">
        <v>4558</v>
      </c>
      <c r="B287" s="26" t="s">
        <v>4558</v>
      </c>
      <c r="C287" s="26" t="s">
        <v>4558</v>
      </c>
      <c r="D287" s="26" t="s">
        <v>755</v>
      </c>
      <c r="E287" s="26" t="s">
        <v>4558</v>
      </c>
      <c r="F287" s="26" t="s">
        <v>23</v>
      </c>
      <c r="G287" s="467" t="s">
        <v>4804</v>
      </c>
    </row>
    <row r="288" spans="1:8" ht="15" customHeight="1">
      <c r="A288" s="21" t="s">
        <v>4558</v>
      </c>
      <c r="B288" s="21" t="s">
        <v>4558</v>
      </c>
      <c r="C288" s="21" t="s">
        <v>4558</v>
      </c>
      <c r="D288" s="21" t="s">
        <v>13</v>
      </c>
      <c r="E288" s="21" t="s">
        <v>4558</v>
      </c>
      <c r="F288" s="21" t="s">
        <v>755</v>
      </c>
      <c r="G288" s="453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5" t="s">
        <v>4790</v>
      </c>
      <c r="B291" s="506"/>
    </row>
    <row r="292" spans="1:9" ht="15" customHeight="1">
      <c r="A292" s="25" t="s">
        <v>3380</v>
      </c>
      <c r="B292" s="452" t="s">
        <v>2456</v>
      </c>
      <c r="C292" s="221" t="s">
        <v>4730</v>
      </c>
    </row>
    <row r="293" spans="1:9" ht="15" customHeight="1">
      <c r="A293" s="26" t="s">
        <v>3391</v>
      </c>
      <c r="B293" s="392" t="s">
        <v>37</v>
      </c>
      <c r="C293" t="s">
        <v>5004</v>
      </c>
    </row>
    <row r="294" spans="1:9" ht="15" customHeight="1">
      <c r="A294" s="21" t="s">
        <v>3389</v>
      </c>
      <c r="B294" s="467" t="s">
        <v>4805</v>
      </c>
      <c r="F294" s="448"/>
    </row>
    <row r="295" spans="1:9" ht="15" customHeight="1">
      <c r="B295" s="453"/>
    </row>
    <row r="296" spans="1:9" ht="15" customHeight="1">
      <c r="A296" s="488" t="s">
        <v>4765</v>
      </c>
      <c r="F296" s="18"/>
    </row>
    <row r="297" spans="1:9" ht="15" customHeight="1">
      <c r="A297" s="24" t="s">
        <v>4791</v>
      </c>
      <c r="F297" s="448"/>
    </row>
    <row r="298" spans="1:9" ht="15" customHeight="1">
      <c r="A298" s="291" t="s">
        <v>2697</v>
      </c>
      <c r="B298" s="291" t="s">
        <v>2698</v>
      </c>
      <c r="C298" s="291" t="s">
        <v>2699</v>
      </c>
      <c r="D298" s="291" t="s">
        <v>2700</v>
      </c>
      <c r="E298" s="291" t="s">
        <v>2701</v>
      </c>
      <c r="F298" s="291" t="s">
        <v>40</v>
      </c>
      <c r="G298" s="452" t="s">
        <v>2456</v>
      </c>
      <c r="H298" s="221" t="s">
        <v>5043</v>
      </c>
      <c r="I298" t="s">
        <v>4747</v>
      </c>
    </row>
    <row r="299" spans="1:9" ht="15" customHeight="1">
      <c r="A299" s="25" t="s">
        <v>1644</v>
      </c>
      <c r="B299" s="25" t="s">
        <v>2031</v>
      </c>
      <c r="C299" s="25" t="s">
        <v>2031</v>
      </c>
      <c r="D299" s="25" t="s">
        <v>3381</v>
      </c>
      <c r="E299" s="25" t="s">
        <v>1644</v>
      </c>
      <c r="F299" s="25" t="s">
        <v>2031</v>
      </c>
      <c r="G299" s="392" t="s">
        <v>37</v>
      </c>
      <c r="H299" t="s">
        <v>5044</v>
      </c>
    </row>
    <row r="300" spans="1:9" ht="15" customHeight="1">
      <c r="A300" s="26" t="s">
        <v>734</v>
      </c>
      <c r="B300" s="26" t="s">
        <v>2007</v>
      </c>
      <c r="C300" s="26" t="s">
        <v>749</v>
      </c>
      <c r="D300" s="26" t="s">
        <v>2031</v>
      </c>
      <c r="E300" s="26" t="s">
        <v>734</v>
      </c>
      <c r="F300" s="26" t="s">
        <v>2007</v>
      </c>
      <c r="G300" s="467" t="s">
        <v>4806</v>
      </c>
      <c r="H300" t="s">
        <v>4747</v>
      </c>
    </row>
    <row r="301" spans="1:9" ht="15" customHeight="1">
      <c r="A301" s="21" t="s">
        <v>1659</v>
      </c>
      <c r="B301" s="21" t="s">
        <v>2028</v>
      </c>
      <c r="C301" s="21" t="s">
        <v>2007</v>
      </c>
      <c r="D301" s="21" t="s">
        <v>746</v>
      </c>
      <c r="E301" s="26" t="s">
        <v>2034</v>
      </c>
      <c r="F301" s="21" t="s">
        <v>800</v>
      </c>
      <c r="G301" s="453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3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3"/>
    </row>
    <row r="304" spans="1:9" ht="15" customHeight="1">
      <c r="F304" s="18"/>
    </row>
    <row r="305" spans="1:6" ht="15" customHeight="1">
      <c r="A305" s="24" t="s">
        <v>4908</v>
      </c>
    </row>
    <row r="306" spans="1:6" ht="15" customHeight="1">
      <c r="A306" s="25" t="s">
        <v>2031</v>
      </c>
      <c r="B306" s="452" t="s">
        <v>2456</v>
      </c>
      <c r="C306" s="221" t="s">
        <v>4730</v>
      </c>
      <c r="F306" s="448"/>
    </row>
    <row r="307" spans="1:6" ht="15" customHeight="1">
      <c r="A307" s="26" t="s">
        <v>2007</v>
      </c>
      <c r="B307" s="392" t="s">
        <v>37</v>
      </c>
      <c r="C307" t="s">
        <v>5045</v>
      </c>
    </row>
    <row r="308" spans="1:6" ht="15" customHeight="1">
      <c r="A308" s="21" t="s">
        <v>771</v>
      </c>
      <c r="B308" s="467" t="s">
        <v>4809</v>
      </c>
      <c r="F308" s="18"/>
    </row>
    <row r="309" spans="1:6" ht="15" customHeight="1">
      <c r="B309" s="453"/>
    </row>
    <row r="310" spans="1:6" ht="15" customHeight="1">
      <c r="A310" s="24" t="s">
        <v>4909</v>
      </c>
    </row>
    <row r="311" spans="1:6" ht="15" customHeight="1">
      <c r="A311" s="25" t="s">
        <v>1656</v>
      </c>
      <c r="B311" s="452" t="s">
        <v>2456</v>
      </c>
      <c r="C311" s="221" t="s">
        <v>4730</v>
      </c>
      <c r="F311" s="448"/>
    </row>
    <row r="312" spans="1:6" ht="15" customHeight="1">
      <c r="A312" s="26" t="s">
        <v>790</v>
      </c>
      <c r="B312" s="392" t="s">
        <v>37</v>
      </c>
      <c r="C312" t="s">
        <v>5046</v>
      </c>
    </row>
    <row r="313" spans="1:6" ht="15" customHeight="1">
      <c r="A313" s="21" t="s">
        <v>1652</v>
      </c>
      <c r="B313" s="467" t="s">
        <v>4815</v>
      </c>
      <c r="F313" s="18"/>
    </row>
    <row r="314" spans="1:6" ht="15" customHeight="1">
      <c r="B314" s="453"/>
    </row>
    <row r="315" spans="1:6" ht="15" customHeight="1">
      <c r="A315" s="505" t="s">
        <v>4910</v>
      </c>
      <c r="B315" s="506"/>
    </row>
    <row r="316" spans="1:6" ht="15" customHeight="1">
      <c r="A316" s="25" t="s">
        <v>3383</v>
      </c>
      <c r="B316" s="452" t="s">
        <v>2456</v>
      </c>
      <c r="C316" s="221" t="s">
        <v>4730</v>
      </c>
      <c r="F316" s="448"/>
    </row>
    <row r="317" spans="1:6" ht="15" customHeight="1">
      <c r="A317" s="26" t="s">
        <v>762</v>
      </c>
      <c r="B317" s="392" t="s">
        <v>37</v>
      </c>
      <c r="C317" t="s">
        <v>5047</v>
      </c>
    </row>
    <row r="318" spans="1:6" ht="15" customHeight="1">
      <c r="A318" s="21" t="s">
        <v>1659</v>
      </c>
      <c r="B318" s="467" t="s">
        <v>4838</v>
      </c>
      <c r="F318" s="18"/>
    </row>
    <row r="319" spans="1:6" ht="15" customHeight="1">
      <c r="B319" s="453"/>
    </row>
    <row r="320" spans="1:6" ht="15" customHeight="1">
      <c r="A320" s="505" t="s">
        <v>4911</v>
      </c>
      <c r="B320" s="506"/>
    </row>
    <row r="321" spans="1:10" ht="15" customHeight="1">
      <c r="A321" s="25" t="s">
        <v>3391</v>
      </c>
      <c r="B321" s="452" t="s">
        <v>2456</v>
      </c>
      <c r="C321" s="221" t="s">
        <v>4730</v>
      </c>
      <c r="F321" s="448"/>
    </row>
    <row r="322" spans="1:10" ht="15" customHeight="1">
      <c r="A322" s="26" t="s">
        <v>2027</v>
      </c>
      <c r="B322" s="392" t="s">
        <v>37</v>
      </c>
      <c r="C322" t="s">
        <v>5048</v>
      </c>
    </row>
    <row r="323" spans="1:10" ht="15" customHeight="1">
      <c r="A323" s="21" t="s">
        <v>3378</v>
      </c>
      <c r="B323" s="467" t="s">
        <v>4840</v>
      </c>
      <c r="F323" s="18"/>
    </row>
    <row r="324" spans="1:10" ht="15" customHeight="1">
      <c r="B324" s="453"/>
    </row>
    <row r="325" spans="1:10" ht="15" customHeight="1">
      <c r="A325" s="505" t="s">
        <v>4912</v>
      </c>
      <c r="B325" s="506"/>
    </row>
    <row r="326" spans="1:10" ht="15" customHeight="1">
      <c r="A326" s="25" t="s">
        <v>1653</v>
      </c>
      <c r="B326" s="452" t="s">
        <v>2456</v>
      </c>
      <c r="C326" s="221" t="s">
        <v>4730</v>
      </c>
      <c r="F326" s="448"/>
    </row>
    <row r="327" spans="1:10" ht="15" customHeight="1">
      <c r="A327" s="26" t="s">
        <v>27</v>
      </c>
      <c r="B327" s="392" t="s">
        <v>37</v>
      </c>
      <c r="C327" t="s">
        <v>5049</v>
      </c>
    </row>
    <row r="328" spans="1:10" ht="15" customHeight="1">
      <c r="A328" s="21" t="s">
        <v>771</v>
      </c>
      <c r="B328" s="467" t="s">
        <v>4842</v>
      </c>
      <c r="F328" s="18"/>
    </row>
    <row r="329" spans="1:10" ht="15" customHeight="1">
      <c r="B329" s="453"/>
    </row>
    <row r="330" spans="1:10" ht="15" customHeight="1">
      <c r="A330" s="505" t="s">
        <v>4913</v>
      </c>
      <c r="B330" s="506"/>
    </row>
    <row r="331" spans="1:10" ht="15" customHeight="1">
      <c r="A331" s="291" t="s">
        <v>2697</v>
      </c>
      <c r="B331" s="291" t="s">
        <v>2698</v>
      </c>
      <c r="C331" s="291" t="s">
        <v>2699</v>
      </c>
      <c r="D331" s="291" t="s">
        <v>2700</v>
      </c>
      <c r="E331" s="291" t="s">
        <v>2701</v>
      </c>
      <c r="F331" s="291" t="s">
        <v>2702</v>
      </c>
      <c r="G331" s="291" t="s">
        <v>2703</v>
      </c>
      <c r="H331" s="291" t="s">
        <v>40</v>
      </c>
      <c r="I331" s="452" t="s">
        <v>2456</v>
      </c>
      <c r="J331" s="221" t="s">
        <v>4729</v>
      </c>
    </row>
    <row r="332" spans="1:10" ht="15" customHeight="1">
      <c r="A332" s="25" t="s">
        <v>3378</v>
      </c>
      <c r="B332" s="25" t="s">
        <v>162</v>
      </c>
      <c r="C332" s="25" t="s">
        <v>778</v>
      </c>
      <c r="D332" s="25" t="s">
        <v>733</v>
      </c>
      <c r="E332" s="25" t="s">
        <v>3379</v>
      </c>
      <c r="F332" s="25" t="s">
        <v>733</v>
      </c>
      <c r="G332" s="25" t="s">
        <v>3393</v>
      </c>
      <c r="H332" s="25" t="s">
        <v>778</v>
      </c>
      <c r="I332" s="392" t="s">
        <v>2012</v>
      </c>
      <c r="J332" t="s">
        <v>5050</v>
      </c>
    </row>
    <row r="333" spans="1:10" ht="15" customHeight="1">
      <c r="A333" s="26" t="s">
        <v>749</v>
      </c>
      <c r="B333" s="26" t="s">
        <v>3393</v>
      </c>
      <c r="C333" s="26" t="s">
        <v>779</v>
      </c>
      <c r="D333" s="26" t="s">
        <v>3376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7" t="s">
        <v>4135</v>
      </c>
    </row>
    <row r="334" spans="1:10" ht="15" customHeight="1">
      <c r="A334" s="21" t="s">
        <v>154</v>
      </c>
      <c r="B334" s="21" t="s">
        <v>3405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3387</v>
      </c>
      <c r="H334" s="21" t="s">
        <v>11</v>
      </c>
      <c r="I334" s="453"/>
    </row>
    <row r="335" spans="1:10" ht="15" customHeight="1"/>
    <row r="336" spans="1:10" ht="15" customHeight="1">
      <c r="A336" s="488" t="s">
        <v>4903</v>
      </c>
      <c r="F336" s="448"/>
    </row>
    <row r="337" spans="1:6" ht="15" customHeight="1">
      <c r="A337" s="24" t="s">
        <v>4914</v>
      </c>
    </row>
    <row r="338" spans="1:6" ht="15" customHeight="1">
      <c r="A338" s="25" t="s">
        <v>3403</v>
      </c>
      <c r="B338" s="452" t="s">
        <v>2456</v>
      </c>
      <c r="C338" t="s">
        <v>5067</v>
      </c>
      <c r="F338" s="18"/>
    </row>
    <row r="339" spans="1:6" ht="15" customHeight="1">
      <c r="A339" s="26" t="s">
        <v>5100</v>
      </c>
      <c r="B339" s="392" t="s">
        <v>2012</v>
      </c>
      <c r="C339" t="s">
        <v>5068</v>
      </c>
    </row>
    <row r="340" spans="1:6" ht="15" customHeight="1">
      <c r="A340" s="21" t="s">
        <v>5100</v>
      </c>
      <c r="B340" s="467" t="s">
        <v>4576</v>
      </c>
    </row>
    <row r="341" spans="1:6" ht="15" customHeight="1">
      <c r="A341" s="39"/>
      <c r="B341" s="453"/>
      <c r="F341" s="448"/>
    </row>
    <row r="342" spans="1:6" ht="15" customHeight="1">
      <c r="A342" s="24" t="s">
        <v>4915</v>
      </c>
    </row>
    <row r="343" spans="1:6" ht="15" customHeight="1">
      <c r="A343" s="25" t="s">
        <v>3403</v>
      </c>
      <c r="B343" s="452" t="s">
        <v>2456</v>
      </c>
      <c r="C343" t="s">
        <v>5067</v>
      </c>
      <c r="F343" s="18"/>
    </row>
    <row r="344" spans="1:6" ht="15" customHeight="1">
      <c r="A344" s="26" t="s">
        <v>5100</v>
      </c>
      <c r="B344" s="392" t="s">
        <v>2012</v>
      </c>
      <c r="C344" t="s">
        <v>5069</v>
      </c>
    </row>
    <row r="345" spans="1:6" ht="15" customHeight="1">
      <c r="A345" s="21" t="s">
        <v>5100</v>
      </c>
      <c r="B345" s="467" t="s">
        <v>4577</v>
      </c>
    </row>
    <row r="346" spans="1:6" ht="15" customHeight="1">
      <c r="A346" s="39"/>
      <c r="B346" s="453"/>
      <c r="F346" s="448"/>
    </row>
    <row r="347" spans="1:6" ht="15" customHeight="1">
      <c r="A347" s="24" t="s">
        <v>4916</v>
      </c>
    </row>
    <row r="348" spans="1:6" ht="15" customHeight="1">
      <c r="A348" s="25" t="s">
        <v>2161</v>
      </c>
      <c r="B348" s="452" t="s">
        <v>2456</v>
      </c>
      <c r="C348" s="221" t="s">
        <v>4968</v>
      </c>
      <c r="F348" s="18"/>
    </row>
    <row r="349" spans="1:6" ht="15" customHeight="1">
      <c r="A349" s="26" t="s">
        <v>763</v>
      </c>
      <c r="B349" s="392" t="s">
        <v>2012</v>
      </c>
      <c r="C349" t="s">
        <v>5075</v>
      </c>
    </row>
    <row r="350" spans="1:6" ht="15" customHeight="1">
      <c r="A350" s="26" t="s">
        <v>753</v>
      </c>
      <c r="B350" s="467" t="s">
        <v>4578</v>
      </c>
    </row>
    <row r="351" spans="1:6" ht="15" customHeight="1">
      <c r="A351" s="39"/>
      <c r="B351" s="453"/>
      <c r="F351" s="448"/>
    </row>
    <row r="352" spans="1:6" ht="15" customHeight="1">
      <c r="A352" s="24" t="s">
        <v>4917</v>
      </c>
    </row>
    <row r="353" spans="1:6" ht="15" customHeight="1">
      <c r="A353" s="25" t="s">
        <v>2022</v>
      </c>
      <c r="B353" s="452" t="s">
        <v>2456</v>
      </c>
      <c r="C353" s="221" t="s">
        <v>4730</v>
      </c>
      <c r="F353" s="18"/>
    </row>
    <row r="354" spans="1:6" ht="15" customHeight="1">
      <c r="A354" s="26" t="s">
        <v>1643</v>
      </c>
      <c r="B354" s="392" t="s">
        <v>2012</v>
      </c>
      <c r="C354" t="s">
        <v>5078</v>
      </c>
    </row>
    <row r="355" spans="1:6" ht="15" customHeight="1">
      <c r="A355" s="21" t="s">
        <v>778</v>
      </c>
      <c r="B355" s="467" t="s">
        <v>4582</v>
      </c>
    </row>
    <row r="356" spans="1:6" ht="15" customHeight="1">
      <c r="A356" s="39"/>
      <c r="B356" s="453"/>
      <c r="F356" s="448"/>
    </row>
    <row r="357" spans="1:6" ht="15" customHeight="1">
      <c r="A357" s="24" t="s">
        <v>4918</v>
      </c>
    </row>
    <row r="358" spans="1:6" ht="15" customHeight="1">
      <c r="A358" s="25" t="s">
        <v>2056</v>
      </c>
      <c r="B358" s="452" t="s">
        <v>2456</v>
      </c>
      <c r="C358" s="221" t="s">
        <v>4730</v>
      </c>
      <c r="F358" s="18"/>
    </row>
    <row r="359" spans="1:6" ht="15" customHeight="1">
      <c r="A359" s="26" t="s">
        <v>2015</v>
      </c>
      <c r="B359" s="392" t="s">
        <v>2012</v>
      </c>
      <c r="C359" t="s">
        <v>5079</v>
      </c>
    </row>
    <row r="360" spans="1:6" ht="15" customHeight="1">
      <c r="A360" s="21" t="s">
        <v>2030</v>
      </c>
      <c r="B360" s="467" t="s">
        <v>4584</v>
      </c>
    </row>
    <row r="361" spans="1:6" ht="15" customHeight="1">
      <c r="A361" s="39"/>
      <c r="B361" s="453"/>
      <c r="F361" s="448"/>
    </row>
    <row r="362" spans="1:6" ht="15" customHeight="1">
      <c r="A362" s="505" t="s">
        <v>4919</v>
      </c>
      <c r="B362" s="506"/>
    </row>
    <row r="363" spans="1:6" ht="15" customHeight="1">
      <c r="A363" s="25" t="s">
        <v>3391</v>
      </c>
      <c r="B363" s="452" t="s">
        <v>2456</v>
      </c>
      <c r="C363" s="221" t="s">
        <v>4730</v>
      </c>
      <c r="F363" s="18"/>
    </row>
    <row r="364" spans="1:6" ht="15" customHeight="1">
      <c r="A364" s="26" t="s">
        <v>757</v>
      </c>
      <c r="B364" s="392" t="s">
        <v>2012</v>
      </c>
      <c r="C364" t="s">
        <v>5090</v>
      </c>
    </row>
    <row r="365" spans="1:6" ht="15" customHeight="1">
      <c r="A365" s="21" t="s">
        <v>3407</v>
      </c>
      <c r="B365" s="467" t="s">
        <v>4586</v>
      </c>
    </row>
    <row r="366" spans="1:6" ht="15" customHeight="1">
      <c r="A366" s="39"/>
      <c r="B366" s="453"/>
      <c r="F366" s="448"/>
    </row>
    <row r="367" spans="1:6" ht="15" customHeight="1">
      <c r="A367" s="505" t="s">
        <v>4920</v>
      </c>
      <c r="B367" s="506"/>
    </row>
    <row r="368" spans="1:6" ht="15" customHeight="1">
      <c r="A368" s="25" t="s">
        <v>3391</v>
      </c>
      <c r="B368" s="452" t="s">
        <v>2456</v>
      </c>
      <c r="C368" s="221" t="s">
        <v>4730</v>
      </c>
      <c r="F368" s="18"/>
    </row>
    <row r="369" spans="1:8" ht="15" customHeight="1">
      <c r="A369" s="26" t="s">
        <v>1653</v>
      </c>
      <c r="B369" s="392" t="s">
        <v>2012</v>
      </c>
      <c r="C369" t="s">
        <v>5101</v>
      </c>
    </row>
    <row r="370" spans="1:8" ht="15" customHeight="1">
      <c r="A370" s="21" t="s">
        <v>3389</v>
      </c>
      <c r="B370" s="467" t="s">
        <v>4592</v>
      </c>
    </row>
    <row r="371" spans="1:8" ht="15" customHeight="1">
      <c r="A371" s="39"/>
      <c r="B371" s="453"/>
      <c r="F371" s="448"/>
    </row>
    <row r="372" spans="1:8" ht="15" customHeight="1">
      <c r="A372" s="488" t="s">
        <v>4904</v>
      </c>
    </row>
    <row r="373" spans="1:8" ht="15" customHeight="1">
      <c r="A373" s="24" t="s">
        <v>4921</v>
      </c>
      <c r="F373" s="18"/>
    </row>
    <row r="374" spans="1:8" ht="15" customHeight="1">
      <c r="A374" s="291" t="s">
        <v>2697</v>
      </c>
      <c r="B374" s="291" t="s">
        <v>2698</v>
      </c>
      <c r="C374" s="291" t="s">
        <v>2699</v>
      </c>
      <c r="D374" s="291" t="s">
        <v>2700</v>
      </c>
      <c r="E374" s="291" t="s">
        <v>2701</v>
      </c>
      <c r="F374" s="291" t="s">
        <v>2702</v>
      </c>
      <c r="G374" s="291" t="s">
        <v>40</v>
      </c>
      <c r="H374" s="452" t="s">
        <v>2456</v>
      </c>
    </row>
    <row r="375" spans="1:8" ht="15" customHeight="1">
      <c r="A375" s="25"/>
      <c r="H375" s="452"/>
    </row>
    <row r="376" spans="1:8" ht="15" customHeight="1">
      <c r="A376" s="26"/>
      <c r="H376" s="392"/>
    </row>
    <row r="377" spans="1:8" ht="15" customHeight="1">
      <c r="A377" s="21"/>
      <c r="F377" s="448"/>
      <c r="H377" s="453"/>
    </row>
    <row r="378" spans="1:8" ht="15" customHeight="1">
      <c r="F378" s="18"/>
    </row>
    <row r="379" spans="1:8" ht="15" customHeight="1">
      <c r="A379" s="24" t="s">
        <v>4922</v>
      </c>
      <c r="F379" s="18"/>
    </row>
    <row r="380" spans="1:8" ht="15" customHeight="1">
      <c r="A380" s="291" t="s">
        <v>2697</v>
      </c>
      <c r="B380" s="291" t="s">
        <v>2698</v>
      </c>
      <c r="C380" s="291" t="s">
        <v>2699</v>
      </c>
      <c r="D380" s="291" t="s">
        <v>2700</v>
      </c>
      <c r="E380" s="291" t="s">
        <v>40</v>
      </c>
      <c r="F380" s="452" t="s">
        <v>2456</v>
      </c>
    </row>
    <row r="381" spans="1:8" ht="15" customHeight="1">
      <c r="A381" s="25"/>
      <c r="F381" s="452"/>
    </row>
    <row r="382" spans="1:8" ht="15" customHeight="1">
      <c r="A382" s="26"/>
      <c r="F382" s="392"/>
    </row>
    <row r="383" spans="1:8" ht="15" customHeight="1">
      <c r="A383" s="21"/>
      <c r="F383" s="453"/>
    </row>
    <row r="384" spans="1:8" ht="15" customHeight="1"/>
    <row r="385" spans="1:8" ht="15" customHeight="1">
      <c r="A385" s="24" t="s">
        <v>4923</v>
      </c>
    </row>
    <row r="386" spans="1:8" ht="15" customHeight="1">
      <c r="B386" s="452" t="s">
        <v>2456</v>
      </c>
      <c r="F386" s="448"/>
    </row>
    <row r="387" spans="1:8" ht="15" customHeight="1">
      <c r="B387" s="452"/>
    </row>
    <row r="388" spans="1:8" ht="15" customHeight="1">
      <c r="B388" s="392"/>
      <c r="F388" s="18"/>
    </row>
    <row r="389" spans="1:8" ht="15" customHeight="1">
      <c r="A389" s="39"/>
      <c r="B389" s="453"/>
    </row>
    <row r="390" spans="1:8" ht="15" customHeight="1">
      <c r="A390" s="505" t="s">
        <v>4924</v>
      </c>
      <c r="B390" s="506"/>
      <c r="F390" s="18"/>
    </row>
    <row r="391" spans="1:8" ht="15" customHeight="1">
      <c r="A391" s="291" t="s">
        <v>2697</v>
      </c>
      <c r="B391" s="291" t="s">
        <v>2698</v>
      </c>
      <c r="C391" s="291" t="s">
        <v>2699</v>
      </c>
      <c r="D391" s="291" t="s">
        <v>2700</v>
      </c>
      <c r="E391" s="291" t="s">
        <v>2701</v>
      </c>
      <c r="F391" s="291" t="s">
        <v>2702</v>
      </c>
      <c r="G391" s="291" t="s">
        <v>40</v>
      </c>
      <c r="H391" s="452" t="s">
        <v>2456</v>
      </c>
    </row>
    <row r="392" spans="1:8" ht="15" customHeight="1">
      <c r="A392" s="25"/>
      <c r="H392" s="452"/>
    </row>
    <row r="393" spans="1:8" ht="15" customHeight="1">
      <c r="A393" s="26"/>
      <c r="H393" s="392"/>
    </row>
    <row r="394" spans="1:8" ht="15" customHeight="1">
      <c r="A394" s="21"/>
      <c r="F394" s="448"/>
      <c r="H394" s="453"/>
    </row>
    <row r="395" spans="1:8" ht="15" customHeight="1"/>
    <row r="396" spans="1:8" ht="15" customHeight="1">
      <c r="A396" s="505" t="s">
        <v>4925</v>
      </c>
      <c r="B396" s="506"/>
      <c r="F396" s="448"/>
    </row>
    <row r="397" spans="1:8" ht="15" customHeight="1">
      <c r="B397" s="452" t="s">
        <v>2456</v>
      </c>
    </row>
    <row r="398" spans="1:8" ht="15" customHeight="1">
      <c r="B398" s="452"/>
      <c r="F398" s="18"/>
    </row>
    <row r="399" spans="1:8" ht="15" customHeight="1">
      <c r="B399" s="392"/>
    </row>
    <row r="400" spans="1:8" ht="15" customHeight="1">
      <c r="A400" s="39"/>
      <c r="B400" s="453"/>
    </row>
    <row r="401" spans="1:6" ht="15" customHeight="1">
      <c r="A401" s="488" t="s">
        <v>4905</v>
      </c>
      <c r="F401" s="448"/>
    </row>
    <row r="402" spans="1:6" ht="15" customHeight="1">
      <c r="A402" s="24" t="s">
        <v>4926</v>
      </c>
    </row>
    <row r="403" spans="1:6" ht="15" customHeight="1">
      <c r="B403" s="452" t="s">
        <v>2456</v>
      </c>
      <c r="F403" s="18"/>
    </row>
    <row r="404" spans="1:6" ht="15" customHeight="1">
      <c r="B404" s="452"/>
    </row>
    <row r="405" spans="1:6" ht="15" customHeight="1">
      <c r="B405" s="392"/>
    </row>
    <row r="406" spans="1:6" ht="15" customHeight="1">
      <c r="A406" s="39"/>
      <c r="B406" s="453"/>
      <c r="F406" s="448"/>
    </row>
    <row r="407" spans="1:6" ht="15" customHeight="1">
      <c r="A407" s="24" t="s">
        <v>4927</v>
      </c>
    </row>
    <row r="408" spans="1:6" ht="15" customHeight="1">
      <c r="B408" s="452" t="s">
        <v>2456</v>
      </c>
      <c r="F408" s="18"/>
    </row>
    <row r="409" spans="1:6" ht="15" customHeight="1">
      <c r="B409" s="452"/>
    </row>
    <row r="410" spans="1:6" ht="15" customHeight="1">
      <c r="B410" s="392"/>
    </row>
    <row r="411" spans="1:6" ht="15" customHeight="1">
      <c r="A411" s="39"/>
      <c r="B411" s="453"/>
      <c r="F411" s="448"/>
    </row>
    <row r="412" spans="1:6" ht="15" customHeight="1">
      <c r="A412" s="24" t="s">
        <v>4928</v>
      </c>
    </row>
    <row r="413" spans="1:6" ht="15" customHeight="1">
      <c r="B413" s="452" t="s">
        <v>2456</v>
      </c>
      <c r="F413" s="18"/>
    </row>
    <row r="414" spans="1:6" ht="15" customHeight="1">
      <c r="B414" s="452"/>
    </row>
    <row r="415" spans="1:6" ht="15" customHeight="1">
      <c r="B415" s="392"/>
    </row>
    <row r="416" spans="1:6" ht="15" customHeight="1">
      <c r="A416" s="39"/>
      <c r="B416" s="453"/>
      <c r="F416" s="448"/>
    </row>
    <row r="417" spans="1:6" ht="15" customHeight="1">
      <c r="A417" s="24" t="s">
        <v>4929</v>
      </c>
    </row>
    <row r="418" spans="1:6" ht="15" customHeight="1">
      <c r="B418" s="452" t="s">
        <v>2456</v>
      </c>
      <c r="F418" s="18"/>
    </row>
    <row r="419" spans="1:6" ht="15" customHeight="1">
      <c r="B419" s="452"/>
    </row>
    <row r="420" spans="1:6" ht="15" customHeight="1">
      <c r="B420" s="392"/>
    </row>
    <row r="421" spans="1:6" ht="15" customHeight="1">
      <c r="A421" s="39"/>
      <c r="B421" s="453"/>
      <c r="F421" s="448"/>
    </row>
    <row r="422" spans="1:6" ht="15" customHeight="1">
      <c r="A422" s="24" t="s">
        <v>4930</v>
      </c>
    </row>
    <row r="423" spans="1:6" ht="15" customHeight="1">
      <c r="B423" s="452" t="s">
        <v>2456</v>
      </c>
      <c r="F423" s="18"/>
    </row>
    <row r="424" spans="1:6" ht="15" customHeight="1">
      <c r="B424" s="452"/>
    </row>
    <row r="425" spans="1:6" ht="15" customHeight="1">
      <c r="B425" s="392"/>
    </row>
    <row r="426" spans="1:6" ht="15" customHeight="1">
      <c r="B426" s="392"/>
    </row>
    <row r="427" spans="1:6" ht="15" customHeight="1">
      <c r="A427" s="24" t="s">
        <v>5057</v>
      </c>
    </row>
    <row r="428" spans="1:6" ht="15" customHeight="1">
      <c r="B428" s="452" t="s">
        <v>2456</v>
      </c>
    </row>
    <row r="429" spans="1:6" ht="15" customHeight="1">
      <c r="B429" s="452"/>
    </row>
    <row r="430" spans="1:6" ht="15" customHeight="1">
      <c r="B430" s="392"/>
    </row>
    <row r="431" spans="1:6" ht="15" customHeight="1">
      <c r="B431" s="392"/>
      <c r="F431" s="448"/>
    </row>
    <row r="432" spans="1:6" ht="15" customHeight="1">
      <c r="A432" s="24" t="s">
        <v>5058</v>
      </c>
      <c r="F432" s="18"/>
    </row>
    <row r="433" spans="1:7" ht="15" customHeight="1">
      <c r="A433" s="291" t="s">
        <v>2697</v>
      </c>
      <c r="B433" s="291" t="s">
        <v>2698</v>
      </c>
      <c r="C433" s="291" t="s">
        <v>2699</v>
      </c>
      <c r="D433" s="291" t="s">
        <v>2700</v>
      </c>
      <c r="E433" s="291" t="s">
        <v>40</v>
      </c>
      <c r="F433" s="452" t="s">
        <v>2456</v>
      </c>
    </row>
    <row r="434" spans="1:7" ht="15" customHeight="1">
      <c r="A434" s="25"/>
      <c r="F434" s="452"/>
    </row>
    <row r="435" spans="1:7" ht="15" customHeight="1">
      <c r="A435" s="26"/>
      <c r="F435" s="392"/>
    </row>
    <row r="436" spans="1:7" ht="15" customHeight="1">
      <c r="A436" s="21"/>
      <c r="F436" s="453"/>
    </row>
    <row r="437" spans="1:7" ht="15" customHeight="1"/>
    <row r="438" spans="1:7" ht="15" customHeight="1">
      <c r="A438" s="505" t="s">
        <v>5059</v>
      </c>
      <c r="B438" s="506"/>
      <c r="F438" s="18"/>
    </row>
    <row r="439" spans="1:7" ht="15" customHeight="1">
      <c r="B439" s="452" t="s">
        <v>2456</v>
      </c>
    </row>
    <row r="440" spans="1:7" ht="15" customHeight="1">
      <c r="B440" s="452"/>
    </row>
    <row r="441" spans="1:7" ht="15" customHeight="1">
      <c r="B441" s="392"/>
      <c r="F441" s="448"/>
    </row>
    <row r="442" spans="1:7" ht="15" customHeight="1">
      <c r="A442" s="39"/>
      <c r="B442" s="453"/>
    </row>
    <row r="443" spans="1:7" ht="15" customHeight="1">
      <c r="A443" s="488" t="s">
        <v>4906</v>
      </c>
      <c r="F443" s="18"/>
    </row>
    <row r="444" spans="1:7" ht="15" customHeight="1">
      <c r="A444" s="24" t="s">
        <v>5060</v>
      </c>
    </row>
    <row r="445" spans="1:7" ht="15" customHeight="1">
      <c r="A445" s="291" t="s">
        <v>2697</v>
      </c>
      <c r="B445" s="291" t="s">
        <v>2698</v>
      </c>
      <c r="C445" s="291" t="s">
        <v>2699</v>
      </c>
      <c r="D445" s="291" t="s">
        <v>2700</v>
      </c>
      <c r="E445" s="291" t="s">
        <v>2701</v>
      </c>
      <c r="F445" s="291" t="s">
        <v>40</v>
      </c>
      <c r="G445" s="452" t="s">
        <v>2456</v>
      </c>
    </row>
    <row r="446" spans="1:7" ht="15" customHeight="1">
      <c r="A446" s="291"/>
      <c r="B446" s="291"/>
      <c r="C446" s="291"/>
      <c r="D446" s="291"/>
      <c r="E446" s="291"/>
      <c r="F446" s="291"/>
      <c r="G446" s="452"/>
    </row>
    <row r="447" spans="1:7" ht="15" customHeight="1">
      <c r="A447" s="291"/>
      <c r="B447" s="291"/>
      <c r="C447" s="291"/>
      <c r="D447" s="291"/>
      <c r="E447" s="291"/>
      <c r="F447" s="291"/>
      <c r="G447" s="452"/>
    </row>
    <row r="448" spans="1:7" ht="15" customHeight="1">
      <c r="A448" s="291"/>
      <c r="B448" s="291"/>
      <c r="C448" s="291"/>
      <c r="D448" s="291"/>
      <c r="E448" s="291"/>
      <c r="F448" s="291"/>
      <c r="G448" s="452"/>
    </row>
    <row r="449" spans="1:7" ht="15" customHeight="1">
      <c r="A449" s="291"/>
      <c r="B449" s="291"/>
      <c r="C449" s="291"/>
      <c r="D449" s="291"/>
      <c r="E449" s="291"/>
      <c r="F449" s="291"/>
      <c r="G449" s="124"/>
    </row>
    <row r="450" spans="1:7" ht="15" customHeight="1">
      <c r="A450" s="24" t="s">
        <v>5061</v>
      </c>
      <c r="C450" s="291"/>
      <c r="D450" s="291"/>
      <c r="E450" s="291"/>
      <c r="F450" s="291"/>
      <c r="G450" s="124"/>
    </row>
    <row r="451" spans="1:7" ht="15" customHeight="1">
      <c r="B451" s="452" t="s">
        <v>2456</v>
      </c>
      <c r="C451" s="291"/>
      <c r="D451" s="291"/>
      <c r="E451" s="291"/>
      <c r="F451" s="291"/>
      <c r="G451" s="124"/>
    </row>
    <row r="452" spans="1:7" ht="15" customHeight="1">
      <c r="B452" s="452"/>
      <c r="C452" s="291"/>
      <c r="D452" s="291"/>
      <c r="E452" s="291"/>
      <c r="F452" s="291"/>
      <c r="G452" s="124"/>
    </row>
    <row r="453" spans="1:7" ht="15" customHeight="1">
      <c r="B453" s="392"/>
      <c r="C453" s="291"/>
      <c r="D453" s="291"/>
      <c r="E453" s="291"/>
      <c r="F453" s="291"/>
      <c r="G453" s="124"/>
    </row>
    <row r="454" spans="1:7" ht="15" customHeight="1">
      <c r="A454" s="39"/>
      <c r="B454" s="453"/>
      <c r="C454" s="291"/>
      <c r="D454" s="291"/>
      <c r="E454" s="291"/>
      <c r="F454" s="291"/>
      <c r="G454" s="124"/>
    </row>
    <row r="455" spans="1:7" ht="15" customHeight="1">
      <c r="A455" s="24" t="s">
        <v>5062</v>
      </c>
      <c r="G455" s="124"/>
    </row>
    <row r="456" spans="1:7" ht="15" customHeight="1">
      <c r="B456" s="452" t="s">
        <v>2456</v>
      </c>
    </row>
    <row r="457" spans="1:7" ht="15" customHeight="1">
      <c r="B457" s="452"/>
      <c r="G457" s="1"/>
    </row>
    <row r="458" spans="1:7" ht="15" customHeight="1">
      <c r="B458" s="392"/>
      <c r="G458" s="1"/>
    </row>
    <row r="459" spans="1:7" ht="15" customHeight="1">
      <c r="A459" s="39"/>
      <c r="B459" s="453"/>
      <c r="G459" s="1"/>
    </row>
    <row r="460" spans="1:7" ht="15" customHeight="1">
      <c r="A460" s="505" t="s">
        <v>5063</v>
      </c>
      <c r="B460" s="506"/>
    </row>
    <row r="461" spans="1:7" ht="15" customHeight="1">
      <c r="B461" s="452" t="s">
        <v>2456</v>
      </c>
      <c r="F461" s="448"/>
    </row>
    <row r="462" spans="1:7" ht="15" customHeight="1">
      <c r="B462" s="452"/>
    </row>
    <row r="463" spans="1:7" ht="15" customHeight="1">
      <c r="B463" s="392"/>
      <c r="F463" s="18"/>
    </row>
    <row r="464" spans="1:7" ht="15" customHeight="1">
      <c r="A464" s="39"/>
      <c r="B464" s="453"/>
    </row>
    <row r="465" spans="1:8" ht="15" customHeight="1">
      <c r="A465" s="505" t="s">
        <v>5064</v>
      </c>
      <c r="B465" s="506"/>
    </row>
    <row r="466" spans="1:8" ht="15" customHeight="1">
      <c r="B466" s="452" t="s">
        <v>2456</v>
      </c>
      <c r="F466" s="448"/>
    </row>
    <row r="467" spans="1:8" ht="15" customHeight="1">
      <c r="B467" s="452"/>
    </row>
    <row r="468" spans="1:8" ht="15" customHeight="1">
      <c r="B468" s="392"/>
      <c r="F468" s="18"/>
    </row>
    <row r="469" spans="1:8" ht="15" customHeight="1">
      <c r="A469" s="39"/>
      <c r="B469" s="453"/>
    </row>
    <row r="470" spans="1:8" ht="15" customHeight="1">
      <c r="A470" s="488" t="s">
        <v>4907</v>
      </c>
    </row>
    <row r="471" spans="1:8" ht="15" customHeight="1">
      <c r="A471" s="24" t="s">
        <v>5065</v>
      </c>
    </row>
    <row r="472" spans="1:8" ht="15" customHeight="1">
      <c r="A472" s="291" t="s">
        <v>2697</v>
      </c>
      <c r="B472" s="291" t="s">
        <v>2698</v>
      </c>
      <c r="C472" s="291" t="s">
        <v>2699</v>
      </c>
      <c r="D472" s="291" t="s">
        <v>40</v>
      </c>
      <c r="E472" s="452" t="s">
        <v>2456</v>
      </c>
    </row>
    <row r="473" spans="1:8" ht="15" customHeight="1">
      <c r="A473" s="25"/>
      <c r="E473" s="452"/>
    </row>
    <row r="474" spans="1:8" ht="15" customHeight="1">
      <c r="A474" s="26"/>
      <c r="E474" s="392"/>
    </row>
    <row r="475" spans="1:8" ht="15" customHeight="1">
      <c r="A475" s="21"/>
      <c r="E475" s="453"/>
    </row>
    <row r="476" spans="1:8" ht="15" customHeight="1"/>
    <row r="477" spans="1:8" ht="15" customHeight="1">
      <c r="A477" s="505" t="s">
        <v>5066</v>
      </c>
      <c r="B477" s="506"/>
      <c r="F477" s="18"/>
    </row>
    <row r="478" spans="1:8" ht="15" customHeight="1">
      <c r="A478" s="291" t="s">
        <v>2697</v>
      </c>
      <c r="B478" s="291" t="s">
        <v>2698</v>
      </c>
      <c r="C478" s="291" t="s">
        <v>2699</v>
      </c>
      <c r="D478" s="291" t="s">
        <v>2700</v>
      </c>
      <c r="E478" s="291" t="s">
        <v>2701</v>
      </c>
      <c r="F478" s="291" t="s">
        <v>2702</v>
      </c>
      <c r="G478" s="291" t="s">
        <v>40</v>
      </c>
      <c r="H478" s="452" t="s">
        <v>2456</v>
      </c>
    </row>
    <row r="479" spans="1:8" ht="15" customHeight="1">
      <c r="A479" s="25"/>
      <c r="H479" s="452"/>
    </row>
    <row r="480" spans="1:8" ht="15" customHeight="1">
      <c r="A480" s="26"/>
      <c r="H480" s="392"/>
    </row>
    <row r="481" spans="1:8" ht="15" customHeight="1">
      <c r="A481" s="21"/>
      <c r="F481" s="448"/>
      <c r="H481" s="453"/>
    </row>
    <row r="482" spans="1:8" ht="15" customHeight="1">
      <c r="F482" s="18"/>
    </row>
    <row r="483" spans="1:8" ht="15" customHeight="1"/>
    <row r="484" spans="1:8" ht="15" customHeight="1">
      <c r="A484" s="226"/>
    </row>
    <row r="485" spans="1:8" ht="15" customHeight="1">
      <c r="A485" s="39"/>
      <c r="F485" s="448"/>
    </row>
    <row r="486" spans="1:8" ht="15" customHeight="1">
      <c r="A486" s="450"/>
    </row>
    <row r="487" spans="1:8" ht="15" customHeight="1">
      <c r="F487" s="18"/>
    </row>
    <row r="488" spans="1:8" ht="15" customHeight="1"/>
    <row r="489" spans="1:8" ht="15" customHeight="1"/>
    <row r="490" spans="1:8" ht="15" customHeight="1">
      <c r="A490" s="450"/>
    </row>
    <row r="491" spans="1:8" ht="15" customHeight="1"/>
    <row r="492" spans="1:8" ht="15" customHeight="1"/>
    <row r="493" spans="1:8" ht="15" customHeight="1"/>
    <row r="494" spans="1:8" ht="15" customHeight="1">
      <c r="A494" s="450"/>
    </row>
    <row r="495" spans="1:8" ht="15" customHeight="1"/>
    <row r="496" spans="1:8" ht="15" customHeight="1"/>
    <row r="497" spans="1:1" ht="15" customHeight="1"/>
    <row r="498" spans="1:1" ht="15" customHeight="1">
      <c r="A498" s="450"/>
    </row>
    <row r="499" spans="1:1" ht="15" customHeight="1"/>
    <row r="500" spans="1:1" ht="15" customHeight="1"/>
    <row r="501" spans="1:1" ht="15" customHeight="1"/>
    <row r="502" spans="1:1" ht="15" customHeight="1">
      <c r="A502" s="450"/>
    </row>
    <row r="503" spans="1:1" ht="15" customHeight="1"/>
    <row r="504" spans="1:1" ht="15" customHeight="1"/>
    <row r="505" spans="1:1" ht="15" customHeight="1"/>
    <row r="506" spans="1:1" ht="15" customHeight="1">
      <c r="A506" s="450"/>
    </row>
    <row r="507" spans="1:1" ht="15" customHeight="1"/>
    <row r="508" spans="1:1" ht="15" customHeight="1"/>
    <row r="509" spans="1:1" ht="15" customHeight="1"/>
    <row r="510" spans="1:1" ht="15" customHeight="1">
      <c r="A510" s="450"/>
    </row>
    <row r="511" spans="1:1" ht="15" customHeight="1"/>
    <row r="512" spans="1:1" ht="15" customHeight="1"/>
    <row r="513" spans="1:1" ht="15" customHeight="1"/>
    <row r="514" spans="1:1" ht="15" customHeight="1">
      <c r="A514" s="450"/>
    </row>
    <row r="515" spans="1:1" ht="15" customHeight="1"/>
    <row r="516" spans="1:1" ht="15" customHeight="1"/>
    <row r="517" spans="1:1" ht="15" customHeight="1"/>
    <row r="518" spans="1:1" ht="15" customHeight="1">
      <c r="A518" s="450"/>
    </row>
    <row r="519" spans="1:1" ht="15" customHeight="1"/>
    <row r="520" spans="1:1" ht="15" customHeight="1"/>
    <row r="521" spans="1:1" ht="15" customHeight="1"/>
    <row r="522" spans="1:1" ht="15" customHeight="1">
      <c r="A522" s="450"/>
    </row>
    <row r="523" spans="1:1" ht="15" customHeight="1"/>
    <row r="524" spans="1:1" ht="15" customHeight="1"/>
    <row r="525" spans="1:1" ht="15" customHeight="1"/>
    <row r="526" spans="1:1" ht="15" customHeight="1">
      <c r="A526" s="450"/>
    </row>
    <row r="527" spans="1:1" ht="15" customHeight="1"/>
    <row r="528" spans="1:1" ht="15" customHeight="1"/>
    <row r="529" spans="1:1" ht="15" customHeight="1"/>
    <row r="530" spans="1:1" ht="15" customHeight="1">
      <c r="A530" s="450"/>
    </row>
    <row r="531" spans="1:1" ht="15" customHeight="1"/>
    <row r="532" spans="1:1" ht="15" customHeight="1"/>
    <row r="533" spans="1:1" ht="15" customHeight="1"/>
    <row r="534" spans="1:1" ht="15" customHeight="1">
      <c r="A534" s="450"/>
    </row>
    <row r="535" spans="1:1" ht="15" customHeight="1"/>
    <row r="536" spans="1:1" ht="15" customHeight="1"/>
    <row r="537" spans="1:1" ht="15" customHeight="1"/>
    <row r="538" spans="1:1" ht="15" customHeight="1">
      <c r="A538" s="450"/>
    </row>
    <row r="539" spans="1:1" ht="15" customHeight="1"/>
    <row r="540" spans="1:1" ht="15" customHeight="1"/>
    <row r="541" spans="1:1" ht="15" customHeight="1"/>
    <row r="542" spans="1:1" ht="15" customHeight="1">
      <c r="A542" s="450"/>
    </row>
    <row r="543" spans="1:1" ht="15" customHeight="1"/>
    <row r="544" spans="1:1" ht="15" customHeight="1"/>
    <row r="545" spans="1:1" ht="15" customHeight="1"/>
    <row r="546" spans="1:1" ht="15" customHeight="1">
      <c r="A546" s="450"/>
    </row>
    <row r="547" spans="1:1" ht="15" customHeight="1"/>
    <row r="548" spans="1:1" ht="15" customHeight="1"/>
    <row r="549" spans="1:1" ht="15" customHeight="1"/>
    <row r="550" spans="1:1" ht="15" customHeight="1">
      <c r="A550" s="450"/>
    </row>
    <row r="551" spans="1:1" ht="15" customHeight="1"/>
    <row r="552" spans="1:1" ht="15" customHeight="1"/>
    <row r="553" spans="1:1" ht="15" customHeight="1"/>
    <row r="554" spans="1:1" ht="15" customHeight="1">
      <c r="A554" s="450"/>
    </row>
    <row r="555" spans="1:1" ht="15" customHeight="1"/>
    <row r="556" spans="1:1" ht="15" customHeight="1"/>
    <row r="557" spans="1:1" ht="15" customHeight="1"/>
    <row r="558" spans="1:1" ht="15" customHeight="1">
      <c r="A558" s="450"/>
    </row>
    <row r="559" spans="1:1" ht="15" customHeight="1"/>
    <row r="560" spans="1:1" ht="15" customHeight="1"/>
    <row r="561" spans="1:1" ht="15" customHeight="1"/>
    <row r="562" spans="1:1" ht="15" customHeight="1">
      <c r="A562" s="450"/>
    </row>
    <row r="563" spans="1:1" ht="15" customHeight="1"/>
    <row r="564" spans="1:1" ht="15" customHeight="1"/>
    <row r="565" spans="1:1" ht="15" customHeight="1"/>
    <row r="566" spans="1:1" ht="15" customHeight="1">
      <c r="A566" s="450"/>
    </row>
    <row r="567" spans="1:1" ht="15" customHeight="1"/>
    <row r="568" spans="1:1" ht="15" customHeight="1"/>
    <row r="569" spans="1:1" ht="15" customHeight="1"/>
    <row r="570" spans="1:1" ht="15" customHeight="1">
      <c r="A570" s="450"/>
    </row>
    <row r="571" spans="1:1" ht="15" customHeight="1"/>
    <row r="572" spans="1:1" ht="15" customHeight="1"/>
    <row r="573" spans="1:1" ht="15" customHeight="1"/>
    <row r="574" spans="1:1" ht="15" customHeight="1">
      <c r="A574" s="450"/>
    </row>
    <row r="575" spans="1:1" ht="15" customHeight="1"/>
    <row r="576" spans="1:1" ht="15" customHeight="1"/>
    <row r="577" spans="1:6" ht="15" customHeight="1"/>
    <row r="578" spans="1:6" ht="15" customHeight="1"/>
    <row r="579" spans="1:6" ht="15" customHeight="1">
      <c r="A579" s="39"/>
      <c r="F579" s="448"/>
    </row>
    <row r="580" spans="1:6" ht="15" customHeight="1"/>
    <row r="581" spans="1:6" ht="15" customHeight="1">
      <c r="F581" s="18"/>
    </row>
    <row r="582" spans="1:6" ht="15" customHeight="1"/>
    <row r="583" spans="1:6" ht="15" customHeight="1"/>
    <row r="584" spans="1:6" ht="15" customHeight="1">
      <c r="A584" s="39"/>
      <c r="F584" s="448"/>
    </row>
    <row r="585" spans="1:6" ht="15" customHeight="1"/>
    <row r="586" spans="1:6" ht="15" customHeight="1">
      <c r="F586" s="18"/>
    </row>
    <row r="587" spans="1:6" ht="15" customHeight="1"/>
    <row r="588" spans="1:6" ht="15" customHeight="1"/>
    <row r="589" spans="1:6" ht="15" customHeight="1">
      <c r="A589" s="39"/>
      <c r="F589" s="448"/>
    </row>
    <row r="590" spans="1:6" ht="15" customHeight="1"/>
    <row r="591" spans="1:6" ht="15" customHeight="1">
      <c r="F591" s="18"/>
    </row>
    <row r="592" spans="1:6" ht="15" customHeight="1"/>
    <row r="593" spans="1:6" ht="15" customHeight="1">
      <c r="A593" s="449"/>
    </row>
    <row r="594" spans="1:6" ht="15" customHeight="1">
      <c r="A594" s="39"/>
      <c r="F594" s="448"/>
    </row>
    <row r="595" spans="1:6" ht="15" customHeight="1"/>
    <row r="596" spans="1:6" ht="15" customHeight="1">
      <c r="F596" s="18"/>
    </row>
    <row r="597" spans="1:6" ht="15" customHeight="1"/>
    <row r="598" spans="1:6" ht="15" customHeight="1"/>
    <row r="599" spans="1:6" ht="15" customHeight="1">
      <c r="A599" s="39"/>
      <c r="F599" s="448"/>
    </row>
    <row r="600" spans="1:6" ht="15" customHeight="1"/>
    <row r="601" spans="1:6" ht="15" customHeight="1">
      <c r="F601" s="18"/>
    </row>
    <row r="602" spans="1:6" ht="15" customHeight="1"/>
    <row r="603" spans="1:6" ht="15" customHeight="1"/>
    <row r="604" spans="1:6" ht="15" customHeight="1">
      <c r="A604" s="39"/>
      <c r="F604" s="448"/>
    </row>
    <row r="605" spans="1:6" ht="15" customHeight="1"/>
    <row r="606" spans="1:6" ht="15" customHeight="1">
      <c r="F606" s="18"/>
    </row>
    <row r="607" spans="1:6" ht="15" customHeight="1"/>
    <row r="608" spans="1:6" ht="15" customHeight="1"/>
    <row r="609" spans="1:6" ht="15" customHeight="1"/>
    <row r="610" spans="1:6" ht="15" customHeight="1"/>
    <row r="611" spans="1:6" ht="15" customHeight="1"/>
    <row r="612" spans="1:6" ht="15" customHeight="1"/>
    <row r="613" spans="1:6" ht="15" customHeight="1">
      <c r="A613" s="39"/>
      <c r="F613" s="448"/>
    </row>
    <row r="614" spans="1:6" ht="15" customHeight="1"/>
    <row r="615" spans="1:6" ht="15" customHeight="1">
      <c r="F615" s="18"/>
    </row>
    <row r="616" spans="1:6" ht="15" customHeight="1"/>
    <row r="617" spans="1:6" ht="15" customHeight="1">
      <c r="A617" s="449"/>
    </row>
    <row r="618" spans="1:6" ht="15" customHeight="1">
      <c r="A618" s="39"/>
      <c r="F618" s="448"/>
    </row>
    <row r="619" spans="1:6" ht="15" customHeight="1"/>
    <row r="620" spans="1:6" ht="15" customHeight="1">
      <c r="F620" s="18"/>
    </row>
    <row r="621" spans="1:6" ht="15" customHeight="1"/>
    <row r="622" spans="1:6" ht="15" customHeight="1"/>
    <row r="623" spans="1:6" ht="15" customHeight="1">
      <c r="A623" s="39"/>
      <c r="F623" s="448"/>
    </row>
    <row r="624" spans="1:6" ht="15" customHeight="1"/>
    <row r="625" spans="1:6" ht="15" customHeight="1">
      <c r="F625" s="18"/>
    </row>
    <row r="626" spans="1:6" ht="15" customHeight="1"/>
    <row r="627" spans="1:6" ht="15" customHeight="1"/>
    <row r="628" spans="1:6" ht="15" customHeight="1">
      <c r="A628" s="39"/>
      <c r="F628" s="448"/>
    </row>
    <row r="629" spans="1:6" ht="15" customHeight="1"/>
    <row r="630" spans="1:6" ht="15" customHeight="1">
      <c r="F630" s="18"/>
    </row>
    <row r="631" spans="1:6" ht="15" customHeight="1"/>
    <row r="632" spans="1:6" ht="15" customHeight="1"/>
    <row r="633" spans="1:6" ht="15" customHeight="1">
      <c r="A633" s="39"/>
      <c r="F633" s="448"/>
    </row>
    <row r="634" spans="1:6" ht="15" customHeight="1"/>
    <row r="635" spans="1:6" ht="15" customHeight="1">
      <c r="F635" s="18"/>
    </row>
    <row r="636" spans="1:6" ht="15" customHeight="1"/>
    <row r="637" spans="1:6" ht="15" customHeight="1">
      <c r="A637" s="449"/>
    </row>
    <row r="638" spans="1:6" ht="15" customHeight="1">
      <c r="A638" s="39"/>
      <c r="F638" s="448"/>
    </row>
    <row r="639" spans="1:6" ht="15" customHeight="1"/>
    <row r="640" spans="1:6" ht="15" customHeight="1">
      <c r="F640" s="18"/>
    </row>
    <row r="641" spans="1:6" ht="15" customHeight="1"/>
    <row r="642" spans="1:6" ht="15" customHeight="1"/>
    <row r="643" spans="1:6" ht="15" customHeight="1">
      <c r="A643" s="39"/>
      <c r="F643" s="448"/>
    </row>
    <row r="644" spans="1:6" ht="15" customHeight="1"/>
    <row r="645" spans="1:6" ht="15" customHeight="1">
      <c r="F645" s="18"/>
    </row>
    <row r="646" spans="1:6" ht="15" customHeight="1"/>
    <row r="647" spans="1:6" ht="15" customHeight="1"/>
    <row r="648" spans="1:6" ht="15" customHeight="1">
      <c r="A648" s="39"/>
      <c r="F648" s="448"/>
    </row>
    <row r="649" spans="1:6" ht="15" customHeight="1"/>
    <row r="650" spans="1:6" ht="15" customHeight="1">
      <c r="F650" s="18"/>
    </row>
    <row r="651" spans="1:6" ht="15" customHeight="1"/>
    <row r="652" spans="1:6" ht="15" customHeight="1"/>
    <row r="653" spans="1:6" ht="15" customHeight="1">
      <c r="A653" s="39"/>
      <c r="F653" s="448"/>
    </row>
    <row r="654" spans="1:6" ht="15" customHeight="1"/>
    <row r="655" spans="1:6" ht="15" customHeight="1">
      <c r="F655" s="18"/>
    </row>
    <row r="656" spans="1:6" ht="15" customHeight="1"/>
    <row r="657" spans="1:6" ht="15" customHeight="1">
      <c r="A657" s="39"/>
    </row>
    <row r="658" spans="1:6" ht="15" customHeight="1">
      <c r="A658" s="39"/>
      <c r="F658" s="448"/>
    </row>
    <row r="659" spans="1:6" ht="15" customHeight="1"/>
    <row r="660" spans="1:6" ht="15" customHeight="1">
      <c r="F660" s="18"/>
    </row>
    <row r="661" spans="1:6" ht="15" customHeight="1"/>
    <row r="662" spans="1:6" ht="15" customHeight="1">
      <c r="A662" s="39"/>
    </row>
    <row r="663" spans="1:6" ht="15" customHeight="1">
      <c r="A663" s="39"/>
      <c r="F663" s="448"/>
    </row>
    <row r="664" spans="1:6" ht="15" customHeight="1"/>
    <row r="665" spans="1:6" ht="15" customHeight="1">
      <c r="F665" s="18"/>
    </row>
    <row r="666" spans="1:6" ht="15" customHeight="1"/>
    <row r="667" spans="1:6" ht="15" customHeight="1">
      <c r="A667" s="39"/>
    </row>
    <row r="668" spans="1:6" ht="15" customHeight="1">
      <c r="A668" s="39"/>
      <c r="F668" s="448"/>
    </row>
    <row r="669" spans="1:6" ht="15" customHeight="1"/>
    <row r="670" spans="1:6" ht="15" customHeight="1">
      <c r="F670" s="18"/>
    </row>
    <row r="671" spans="1:6" ht="15" customHeight="1"/>
    <row r="672" spans="1:6" ht="15" customHeight="1"/>
    <row r="673" spans="1:6" ht="15" customHeight="1">
      <c r="A673" s="39"/>
      <c r="F673" s="448"/>
    </row>
    <row r="674" spans="1:6" ht="15" customHeight="1">
      <c r="A674" s="450"/>
    </row>
    <row r="675" spans="1:6" ht="15" customHeight="1">
      <c r="F675" s="18"/>
    </row>
    <row r="676" spans="1:6" ht="15" customHeight="1"/>
    <row r="677" spans="1:6" ht="15" customHeight="1"/>
    <row r="678" spans="1:6" ht="15" customHeight="1">
      <c r="A678" s="450"/>
    </row>
    <row r="679" spans="1:6" ht="15" customHeight="1"/>
    <row r="680" spans="1:6" ht="15" customHeight="1"/>
    <row r="681" spans="1:6" ht="15" customHeight="1"/>
    <row r="682" spans="1:6" ht="15" customHeight="1">
      <c r="A682" s="450"/>
    </row>
    <row r="683" spans="1:6" ht="15" customHeight="1"/>
    <row r="684" spans="1:6" ht="15" customHeight="1"/>
    <row r="685" spans="1:6" ht="15" customHeight="1"/>
    <row r="686" spans="1:6" ht="15" customHeight="1">
      <c r="A686" s="450"/>
    </row>
    <row r="687" spans="1:6" ht="15" customHeight="1"/>
    <row r="688" spans="1:6" ht="15" customHeight="1"/>
    <row r="689" spans="1:1" ht="15" customHeight="1"/>
    <row r="690" spans="1:1" ht="15" customHeight="1">
      <c r="A690" s="450"/>
    </row>
    <row r="691" spans="1:1" ht="15" customHeight="1"/>
    <row r="692" spans="1:1" ht="15" customHeight="1"/>
    <row r="693" spans="1:1" ht="15" customHeight="1"/>
    <row r="694" spans="1:1" ht="15" customHeight="1">
      <c r="A694" s="450"/>
    </row>
    <row r="695" spans="1:1" ht="15" customHeight="1"/>
    <row r="696" spans="1:1" ht="15" customHeight="1"/>
    <row r="697" spans="1:1" ht="15" customHeight="1"/>
    <row r="698" spans="1:1" ht="15" customHeight="1">
      <c r="A698" s="450"/>
    </row>
    <row r="699" spans="1:1" ht="15" customHeight="1"/>
    <row r="700" spans="1:1" ht="15" customHeight="1"/>
    <row r="701" spans="1:1" ht="15" customHeight="1"/>
    <row r="702" spans="1:1" ht="15" customHeight="1">
      <c r="A702" s="450"/>
    </row>
    <row r="703" spans="1:1" ht="15" customHeight="1"/>
    <row r="704" spans="1:1" ht="15" customHeight="1"/>
    <row r="705" spans="1:1" ht="15" customHeight="1"/>
    <row r="706" spans="1:1" ht="15" customHeight="1">
      <c r="A706" s="450"/>
    </row>
    <row r="707" spans="1:1" ht="15" customHeight="1"/>
    <row r="708" spans="1:1" ht="15" customHeight="1"/>
    <row r="709" spans="1:1" ht="15" customHeight="1"/>
    <row r="710" spans="1:1" ht="15" customHeight="1">
      <c r="A710" s="450"/>
    </row>
    <row r="711" spans="1:1" ht="15" customHeight="1"/>
    <row r="712" spans="1:1" ht="15" customHeight="1"/>
    <row r="713" spans="1:1" ht="15" customHeight="1"/>
    <row r="714" spans="1:1" ht="15" customHeight="1">
      <c r="A714" s="450"/>
    </row>
    <row r="715" spans="1:1" ht="15" customHeight="1"/>
    <row r="716" spans="1:1" ht="15" customHeight="1"/>
    <row r="717" spans="1:1" ht="15" customHeight="1"/>
    <row r="718" spans="1:1" ht="15" customHeight="1">
      <c r="A718" s="450"/>
    </row>
    <row r="719" spans="1:1" ht="15" customHeight="1"/>
    <row r="720" spans="1:1" ht="15" customHeight="1"/>
    <row r="721" spans="1:1" ht="15" customHeight="1"/>
    <row r="722" spans="1:1" ht="15" customHeight="1">
      <c r="A722" s="450"/>
    </row>
    <row r="723" spans="1:1" ht="15" customHeight="1"/>
    <row r="724" spans="1:1" ht="15" customHeight="1"/>
    <row r="725" spans="1:1" ht="15" customHeight="1"/>
    <row r="726" spans="1:1" ht="15" customHeight="1">
      <c r="A726" s="450"/>
    </row>
    <row r="727" spans="1:1" ht="15" customHeight="1"/>
    <row r="728" spans="1:1" ht="15" customHeight="1"/>
    <row r="729" spans="1:1" ht="15" customHeight="1"/>
    <row r="730" spans="1:1" ht="15" customHeight="1">
      <c r="A730" s="450"/>
    </row>
    <row r="731" spans="1:1" ht="15" customHeight="1"/>
    <row r="732" spans="1:1" ht="15" customHeight="1"/>
    <row r="733" spans="1:1" ht="15" customHeight="1"/>
    <row r="734" spans="1:1" ht="15" customHeight="1">
      <c r="A734" s="450"/>
    </row>
    <row r="735" spans="1:1" ht="15" customHeight="1"/>
    <row r="736" spans="1:1" ht="15" customHeight="1"/>
    <row r="737" spans="1:1" ht="15" customHeight="1"/>
    <row r="738" spans="1:1" ht="15" customHeight="1">
      <c r="A738" s="450"/>
    </row>
    <row r="739" spans="1:1" ht="15" customHeight="1"/>
    <row r="740" spans="1:1" ht="15" customHeight="1"/>
    <row r="741" spans="1:1" ht="15" customHeight="1"/>
    <row r="742" spans="1:1" ht="15" customHeight="1">
      <c r="A742" s="450"/>
    </row>
    <row r="743" spans="1:1" ht="15" customHeight="1"/>
    <row r="744" spans="1:1" ht="15" customHeight="1"/>
    <row r="745" spans="1:1" ht="15" customHeight="1"/>
    <row r="746" spans="1:1" ht="15" customHeight="1">
      <c r="A746" s="450"/>
    </row>
    <row r="747" spans="1:1" ht="15" customHeight="1"/>
    <row r="748" spans="1:1" ht="15" customHeight="1"/>
    <row r="749" spans="1:1" ht="15" customHeight="1"/>
    <row r="750" spans="1:1" ht="15" customHeight="1">
      <c r="A750" s="450"/>
    </row>
    <row r="751" spans="1:1" ht="15" customHeight="1"/>
    <row r="752" spans="1:1" ht="15" customHeight="1"/>
    <row r="753" spans="1:6" ht="15" customHeight="1"/>
    <row r="754" spans="1:6" ht="15" customHeight="1">
      <c r="A754" s="450"/>
    </row>
    <row r="755" spans="1:6" ht="15" customHeight="1"/>
    <row r="756" spans="1:6" ht="15" customHeight="1"/>
    <row r="757" spans="1:6" ht="15" customHeight="1"/>
    <row r="758" spans="1:6" ht="15" customHeight="1">
      <c r="A758" s="450"/>
    </row>
    <row r="759" spans="1:6" ht="15" customHeight="1"/>
    <row r="760" spans="1:6" ht="15" customHeight="1"/>
    <row r="761" spans="1:6" ht="15" customHeight="1"/>
    <row r="762" spans="1:6" ht="15" customHeight="1">
      <c r="A762" s="450"/>
    </row>
    <row r="763" spans="1:6" ht="15" customHeight="1"/>
    <row r="764" spans="1:6" ht="15" customHeight="1"/>
    <row r="765" spans="1:6" ht="15" customHeight="1"/>
    <row r="766" spans="1:6" ht="15" customHeight="1">
      <c r="A766" s="39"/>
    </row>
    <row r="767" spans="1:6" ht="15" customHeight="1">
      <c r="A767" s="39"/>
      <c r="F767" s="448"/>
    </row>
    <row r="768" spans="1:6" ht="15" customHeight="1"/>
    <row r="769" spans="1:6" ht="15" customHeight="1">
      <c r="F769" s="18"/>
    </row>
    <row r="770" spans="1:6" ht="15" customHeight="1"/>
    <row r="771" spans="1:6" ht="15" customHeight="1">
      <c r="A771" s="39"/>
    </row>
    <row r="772" spans="1:6" ht="15" customHeight="1">
      <c r="A772" s="39"/>
      <c r="F772" s="448"/>
    </row>
    <row r="773" spans="1:6" ht="15" customHeight="1"/>
    <row r="774" spans="1:6" ht="15" customHeight="1">
      <c r="F774" s="18"/>
    </row>
    <row r="775" spans="1:6" ht="15" customHeight="1"/>
    <row r="776" spans="1:6" ht="15" customHeight="1">
      <c r="A776" s="39"/>
    </row>
    <row r="777" spans="1:6" ht="15" customHeight="1">
      <c r="A777" s="39"/>
      <c r="F777" s="448"/>
    </row>
    <row r="778" spans="1:6" ht="15" customHeight="1"/>
    <row r="779" spans="1:6" ht="15" customHeight="1">
      <c r="F779" s="18"/>
    </row>
    <row r="780" spans="1:6" ht="15" customHeight="1"/>
    <row r="781" spans="1:6" ht="15" customHeight="1">
      <c r="A781" s="39"/>
    </row>
    <row r="782" spans="1:6" ht="15" customHeight="1">
      <c r="A782" s="39"/>
      <c r="F782" s="448"/>
    </row>
    <row r="783" spans="1:6" ht="15" customHeight="1"/>
    <row r="784" spans="1:6" ht="15" customHeight="1">
      <c r="F784" s="18"/>
    </row>
    <row r="785" spans="1:6" ht="15" customHeight="1"/>
    <row r="786" spans="1:6" ht="15" customHeight="1"/>
    <row r="787" spans="1:6" ht="15" customHeight="1"/>
    <row r="788" spans="1:6" ht="15" customHeight="1">
      <c r="A788" s="39"/>
      <c r="F788" s="448"/>
    </row>
    <row r="789" spans="1:6" ht="15" customHeight="1"/>
    <row r="790" spans="1:6" ht="15" customHeight="1">
      <c r="F790" s="18"/>
    </row>
    <row r="791" spans="1:6" ht="15" customHeight="1"/>
    <row r="792" spans="1:6" ht="15" customHeight="1"/>
    <row r="793" spans="1:6" ht="15" customHeight="1">
      <c r="A793" s="39"/>
      <c r="F793" s="448"/>
    </row>
    <row r="794" spans="1:6" ht="15" customHeight="1"/>
    <row r="795" spans="1:6" ht="15" customHeight="1">
      <c r="F795" s="18"/>
    </row>
    <row r="796" spans="1:6" ht="15" customHeight="1"/>
    <row r="797" spans="1:6" ht="15" customHeight="1"/>
    <row r="798" spans="1:6" ht="15" customHeight="1">
      <c r="A798" s="39"/>
      <c r="F798" s="448"/>
    </row>
    <row r="799" spans="1:6" ht="15" customHeight="1"/>
    <row r="800" spans="1:6" ht="15" customHeight="1">
      <c r="F800" s="18"/>
    </row>
    <row r="801" spans="1:6" ht="15" customHeight="1"/>
    <row r="802" spans="1:6" ht="15" customHeight="1"/>
    <row r="803" spans="1:6" ht="15" customHeight="1">
      <c r="A803" s="39"/>
      <c r="F803" s="448"/>
    </row>
    <row r="804" spans="1:6" ht="15" customHeight="1"/>
    <row r="805" spans="1:6" ht="15" customHeight="1">
      <c r="F805" s="18"/>
    </row>
    <row r="806" spans="1:6" ht="15" customHeight="1"/>
    <row r="807" spans="1:6" ht="15" customHeight="1"/>
    <row r="808" spans="1:6" ht="15" customHeight="1"/>
    <row r="809" spans="1:6" ht="15" customHeight="1">
      <c r="A809" s="39"/>
      <c r="F809" s="448"/>
    </row>
    <row r="810" spans="1:6" ht="15" customHeight="1"/>
    <row r="811" spans="1:6" ht="15" customHeight="1">
      <c r="F811" s="18"/>
    </row>
    <row r="812" spans="1:6" ht="15" customHeight="1"/>
    <row r="813" spans="1:6" ht="15" customHeight="1"/>
    <row r="814" spans="1:6" ht="15" customHeight="1">
      <c r="A814" s="39"/>
      <c r="F814" s="448"/>
    </row>
    <row r="815" spans="1:6" ht="15" customHeight="1"/>
    <row r="816" spans="1:6" ht="15" customHeight="1">
      <c r="F816" s="18"/>
    </row>
    <row r="817" spans="1:6" ht="15" customHeight="1"/>
    <row r="818" spans="1:6" ht="15" customHeight="1"/>
    <row r="819" spans="1:6" ht="15" customHeight="1">
      <c r="A819" s="39"/>
      <c r="F819" s="448"/>
    </row>
    <row r="820" spans="1:6" ht="15" customHeight="1"/>
    <row r="821" spans="1:6" ht="15" customHeight="1">
      <c r="F821" s="18"/>
    </row>
    <row r="822" spans="1:6" ht="15" customHeight="1"/>
    <row r="823" spans="1:6" ht="15" customHeight="1"/>
    <row r="824" spans="1:6" ht="15" customHeight="1">
      <c r="A824" s="39"/>
      <c r="F824" s="448"/>
    </row>
    <row r="825" spans="1:6" ht="15" customHeight="1"/>
    <row r="826" spans="1:6" ht="15" customHeight="1">
      <c r="F826" s="18"/>
    </row>
    <row r="827" spans="1:6" ht="15" customHeight="1"/>
    <row r="828" spans="1:6" ht="15" customHeight="1"/>
    <row r="829" spans="1:6" ht="15" customHeight="1">
      <c r="A829" s="226"/>
    </row>
    <row r="830" spans="1:6" ht="15" customHeight="1">
      <c r="A830" s="39"/>
      <c r="F830" s="448"/>
    </row>
    <row r="831" spans="1:6" ht="15" customHeight="1"/>
    <row r="832" spans="1:6" ht="15" customHeight="1">
      <c r="F832" s="18"/>
    </row>
    <row r="833" spans="1:6" ht="15" customHeight="1"/>
    <row r="834" spans="1:6" ht="15" customHeight="1">
      <c r="A834" s="226"/>
    </row>
    <row r="835" spans="1:6" ht="15" customHeight="1">
      <c r="A835" s="39"/>
      <c r="F835" s="448"/>
    </row>
    <row r="836" spans="1:6" ht="15" customHeight="1"/>
    <row r="837" spans="1:6" ht="15" customHeight="1">
      <c r="F837" s="18"/>
    </row>
    <row r="838" spans="1:6" ht="15" customHeight="1"/>
    <row r="839" spans="1:6" ht="15" customHeight="1">
      <c r="A839" s="226"/>
    </row>
    <row r="840" spans="1:6" ht="15" customHeight="1">
      <c r="A840" s="39"/>
      <c r="F840" s="448"/>
    </row>
    <row r="841" spans="1:6" ht="15" customHeight="1"/>
    <row r="842" spans="1:6" ht="15" customHeight="1">
      <c r="F842" s="18"/>
    </row>
    <row r="843" spans="1:6" ht="15" customHeight="1"/>
    <row r="844" spans="1:6" ht="15" customHeight="1">
      <c r="A844" s="226"/>
    </row>
    <row r="845" spans="1:6" ht="15" customHeight="1">
      <c r="A845" s="39"/>
      <c r="F845" s="448"/>
    </row>
    <row r="846" spans="1:6" ht="15" customHeight="1"/>
    <row r="847" spans="1:6" ht="15" customHeight="1">
      <c r="F847" s="18"/>
    </row>
    <row r="848" spans="1:6" ht="15" customHeight="1"/>
    <row r="849" spans="1:6" ht="15" customHeight="1">
      <c r="A849" s="226"/>
    </row>
    <row r="850" spans="1:6" ht="15" customHeight="1">
      <c r="A850" s="39"/>
      <c r="F850" s="448"/>
    </row>
    <row r="851" spans="1:6" ht="15" customHeight="1"/>
    <row r="852" spans="1:6" ht="15" customHeight="1">
      <c r="F852" s="18"/>
    </row>
    <row r="853" spans="1:6" ht="15" customHeight="1"/>
    <row r="854" spans="1:6" ht="15" customHeight="1">
      <c r="A854" s="226"/>
    </row>
    <row r="855" spans="1:6" ht="15" customHeight="1">
      <c r="A855" s="39"/>
      <c r="F855" s="448"/>
    </row>
    <row r="856" spans="1:6" ht="15" customHeight="1"/>
    <row r="857" spans="1:6" ht="15" customHeight="1">
      <c r="F857" s="18"/>
    </row>
    <row r="858" spans="1:6" ht="15" customHeight="1"/>
    <row r="859" spans="1:6" ht="15" customHeight="1">
      <c r="A859" s="226"/>
    </row>
    <row r="860" spans="1:6" ht="15" customHeight="1">
      <c r="A860" s="39"/>
      <c r="F860" s="448"/>
    </row>
    <row r="861" spans="1:6" ht="15" customHeight="1"/>
    <row r="862" spans="1:6" ht="15" customHeight="1">
      <c r="F862" s="18"/>
    </row>
    <row r="863" spans="1:6" ht="15" customHeight="1"/>
    <row r="864" spans="1:6" ht="15" customHeight="1">
      <c r="A864" s="226"/>
    </row>
    <row r="865" spans="1:6" ht="15" customHeight="1">
      <c r="A865" s="39"/>
      <c r="F865" s="448"/>
    </row>
    <row r="866" spans="1:6" ht="15" customHeight="1"/>
    <row r="867" spans="1:6" ht="15" customHeight="1">
      <c r="F867" s="18"/>
    </row>
    <row r="868" spans="1:6" ht="15" customHeight="1"/>
    <row r="869" spans="1:6" ht="15" customHeight="1">
      <c r="F869" s="448"/>
    </row>
    <row r="870" spans="1:6" ht="15" customHeight="1"/>
    <row r="871" spans="1:6" ht="15" customHeight="1">
      <c r="A871" s="39"/>
      <c r="F871" s="448"/>
    </row>
    <row r="872" spans="1:6" ht="15" customHeight="1"/>
    <row r="873" spans="1:6" ht="15" customHeight="1">
      <c r="F873" s="18"/>
    </row>
    <row r="874" spans="1:6" ht="15" customHeight="1"/>
    <row r="875" spans="1:6" ht="15" customHeight="1">
      <c r="A875" s="226"/>
    </row>
    <row r="876" spans="1:6" ht="15" customHeight="1">
      <c r="A876" s="39"/>
      <c r="F876" s="448"/>
    </row>
    <row r="877" spans="1:6" ht="15" customHeight="1"/>
    <row r="878" spans="1:6" ht="15" customHeight="1">
      <c r="F878" s="18"/>
    </row>
    <row r="879" spans="1:6" ht="15" customHeight="1"/>
    <row r="880" spans="1:6" ht="15" customHeight="1">
      <c r="A880" s="226"/>
    </row>
    <row r="881" spans="1:6" ht="15" customHeight="1">
      <c r="A881" s="39"/>
      <c r="F881" s="448"/>
    </row>
    <row r="882" spans="1:6" ht="15" customHeight="1"/>
    <row r="883" spans="1:6" ht="15" customHeight="1">
      <c r="F883" s="18"/>
    </row>
    <row r="884" spans="1:6" ht="15" customHeight="1"/>
    <row r="885" spans="1:6" ht="15" customHeight="1">
      <c r="A885" s="226"/>
    </row>
    <row r="886" spans="1:6" ht="15" customHeight="1">
      <c r="A886" s="39"/>
      <c r="F886" s="448"/>
    </row>
    <row r="887" spans="1:6" ht="15" customHeight="1"/>
    <row r="888" spans="1:6" ht="15" customHeight="1">
      <c r="F888" s="18"/>
    </row>
    <row r="889" spans="1:6" ht="15" customHeight="1"/>
    <row r="890" spans="1:6" ht="15" customHeight="1">
      <c r="A890" s="226"/>
    </row>
    <row r="891" spans="1:6" ht="15" customHeight="1">
      <c r="A891" s="39"/>
      <c r="F891" s="448"/>
    </row>
    <row r="892" spans="1:6" ht="15" customHeight="1"/>
    <row r="893" spans="1:6" ht="15" customHeight="1">
      <c r="F893" s="18"/>
    </row>
    <row r="894" spans="1:6" ht="15" customHeight="1"/>
    <row r="895" spans="1:6" ht="15" customHeight="1">
      <c r="A895" s="226"/>
    </row>
    <row r="896" spans="1:6" ht="15" customHeight="1">
      <c r="A896" s="39"/>
      <c r="F896" s="448"/>
    </row>
    <row r="897" spans="1:6" ht="15" customHeight="1"/>
    <row r="898" spans="1:6" ht="15" customHeight="1">
      <c r="F898" s="18"/>
    </row>
    <row r="899" spans="1:6" ht="15" customHeight="1"/>
    <row r="900" spans="1:6" ht="15" customHeight="1">
      <c r="A900" s="226"/>
    </row>
    <row r="901" spans="1:6" ht="15" customHeight="1">
      <c r="A901" s="39"/>
      <c r="F901" s="448"/>
    </row>
    <row r="902" spans="1:6" ht="15" customHeight="1"/>
    <row r="903" spans="1:6" ht="15" customHeight="1">
      <c r="F903" s="18"/>
    </row>
    <row r="904" spans="1:6" ht="15" customHeight="1"/>
    <row r="905" spans="1:6" ht="15" customHeight="1">
      <c r="A905" s="226"/>
    </row>
    <row r="906" spans="1:6" ht="15" customHeight="1">
      <c r="A906" s="39"/>
      <c r="F906" s="448"/>
    </row>
    <row r="907" spans="1:6" ht="15" customHeight="1"/>
    <row r="908" spans="1:6" ht="15" customHeight="1">
      <c r="F908" s="18"/>
    </row>
    <row r="909" spans="1:6" ht="15" customHeight="1"/>
    <row r="910" spans="1:6" ht="15" customHeight="1">
      <c r="A910" s="226"/>
    </row>
    <row r="911" spans="1:6" ht="15" customHeight="1">
      <c r="A911" s="39"/>
      <c r="F911" s="448"/>
    </row>
    <row r="912" spans="1:6" ht="15" customHeight="1"/>
    <row r="913" spans="1:6" ht="15" customHeight="1">
      <c r="F913" s="18"/>
    </row>
    <row r="914" spans="1:6" ht="15" customHeight="1"/>
    <row r="915" spans="1:6" ht="15" customHeight="1">
      <c r="A915" s="226"/>
    </row>
    <row r="916" spans="1:6" ht="15" customHeight="1">
      <c r="A916" s="39"/>
      <c r="F916" s="448"/>
    </row>
    <row r="917" spans="1:6" ht="15" customHeight="1"/>
    <row r="918" spans="1:6" ht="15" customHeight="1">
      <c r="F918" s="18"/>
    </row>
    <row r="919" spans="1:6" ht="15" customHeight="1"/>
    <row r="920" spans="1:6" ht="15" customHeight="1">
      <c r="A920" s="226"/>
    </row>
    <row r="921" spans="1:6" ht="15" customHeight="1">
      <c r="A921" s="39"/>
      <c r="F921" s="448"/>
    </row>
    <row r="922" spans="1:6" ht="15" customHeight="1"/>
    <row r="923" spans="1:6" ht="15" customHeight="1">
      <c r="F923" s="18"/>
    </row>
    <row r="924" spans="1:6" ht="15" customHeight="1"/>
    <row r="925" spans="1:6" ht="15" customHeight="1">
      <c r="A925" s="226"/>
    </row>
    <row r="926" spans="1:6" ht="15" customHeight="1">
      <c r="A926" s="39"/>
      <c r="F926" s="448"/>
    </row>
    <row r="927" spans="1:6" ht="15" customHeight="1"/>
    <row r="928" spans="1:6" ht="15" customHeight="1">
      <c r="F928" s="18"/>
    </row>
    <row r="929" spans="1:6" ht="15" customHeight="1"/>
    <row r="930" spans="1:6" ht="15" customHeight="1">
      <c r="A930" s="226"/>
    </row>
    <row r="931" spans="1:6" ht="15" customHeight="1">
      <c r="A931" s="39"/>
      <c r="F931" s="448"/>
    </row>
    <row r="932" spans="1:6" ht="15" customHeight="1"/>
    <row r="933" spans="1:6" ht="15" customHeight="1">
      <c r="F933" s="18"/>
    </row>
    <row r="934" spans="1:6" ht="15" customHeight="1"/>
    <row r="935" spans="1:6" ht="15" customHeight="1">
      <c r="A935" s="226"/>
    </row>
    <row r="936" spans="1:6" ht="15" customHeight="1">
      <c r="A936" s="39"/>
      <c r="F936" s="448"/>
    </row>
    <row r="937" spans="1:6" ht="15" customHeight="1"/>
    <row r="938" spans="1:6" ht="15" customHeight="1">
      <c r="F938" s="18"/>
    </row>
    <row r="939" spans="1:6" ht="15" customHeight="1"/>
    <row r="940" spans="1:6" ht="15" customHeight="1">
      <c r="A940" s="226"/>
    </row>
    <row r="941" spans="1:6" ht="15" customHeight="1">
      <c r="A941" s="39"/>
      <c r="F941" s="448"/>
    </row>
    <row r="942" spans="1:6" ht="15" customHeight="1"/>
    <row r="943" spans="1:6" ht="15" customHeight="1">
      <c r="F943" s="18"/>
    </row>
    <row r="944" spans="1:6" ht="15" customHeight="1"/>
    <row r="945" spans="1:6" ht="15" customHeight="1">
      <c r="A945" s="226"/>
    </row>
    <row r="946" spans="1:6" ht="15" customHeight="1">
      <c r="A946" s="39"/>
      <c r="F946" s="448"/>
    </row>
    <row r="947" spans="1:6" ht="15" customHeight="1"/>
    <row r="948" spans="1:6" ht="15" customHeight="1">
      <c r="F948" s="18"/>
    </row>
    <row r="949" spans="1:6" ht="15" customHeight="1"/>
    <row r="950" spans="1:6" ht="15" customHeight="1">
      <c r="A950" s="226"/>
    </row>
    <row r="951" spans="1:6" ht="15" customHeight="1">
      <c r="A951" s="39"/>
      <c r="F951" s="448"/>
    </row>
    <row r="952" spans="1:6" ht="15" customHeight="1"/>
    <row r="953" spans="1:6" ht="15" customHeight="1">
      <c r="F953" s="18"/>
    </row>
    <row r="954" spans="1:6" ht="15" customHeight="1"/>
    <row r="955" spans="1:6" ht="15" customHeight="1">
      <c r="A955" s="226"/>
    </row>
    <row r="956" spans="1:6" ht="15" customHeight="1">
      <c r="A956" s="39"/>
      <c r="F956" s="448"/>
    </row>
    <row r="957" spans="1:6" ht="15" customHeight="1"/>
    <row r="958" spans="1:6" ht="15" customHeight="1">
      <c r="F958" s="18"/>
    </row>
    <row r="959" spans="1:6" ht="15" customHeight="1"/>
    <row r="960" spans="1:6" ht="15" customHeight="1">
      <c r="A960" s="226"/>
    </row>
    <row r="961" spans="1:6" ht="15" customHeight="1">
      <c r="A961" s="39"/>
      <c r="F961" s="448"/>
    </row>
    <row r="962" spans="1:6" ht="15" customHeight="1"/>
    <row r="963" spans="1:6" ht="15" customHeight="1">
      <c r="F963" s="18"/>
    </row>
    <row r="964" spans="1:6" ht="15" customHeight="1"/>
    <row r="965" spans="1:6" ht="15" customHeight="1">
      <c r="A965" s="226"/>
    </row>
    <row r="966" spans="1:6" ht="15" customHeight="1">
      <c r="A966" s="39"/>
      <c r="F966" s="448"/>
    </row>
    <row r="967" spans="1:6" ht="15" customHeight="1"/>
    <row r="968" spans="1:6" ht="15" customHeight="1">
      <c r="F968" s="18"/>
    </row>
    <row r="969" spans="1:6" ht="15" customHeight="1"/>
    <row r="970" spans="1:6" ht="15" customHeight="1">
      <c r="A970" s="226"/>
    </row>
    <row r="971" spans="1:6" ht="15" customHeight="1">
      <c r="A971" s="39"/>
      <c r="F971" s="448"/>
    </row>
    <row r="972" spans="1:6" ht="15" customHeight="1"/>
    <row r="973" spans="1:6" ht="15" customHeight="1">
      <c r="F973" s="18"/>
    </row>
    <row r="974" spans="1:6" ht="15" customHeight="1"/>
    <row r="975" spans="1:6" ht="15" customHeight="1">
      <c r="A975" s="226"/>
    </row>
    <row r="976" spans="1:6" ht="15" customHeight="1">
      <c r="A976" s="39"/>
      <c r="F976" s="448"/>
    </row>
    <row r="977" spans="1:6" ht="15" customHeight="1"/>
    <row r="978" spans="1:6" ht="15" customHeight="1">
      <c r="F978" s="18"/>
    </row>
    <row r="979" spans="1:6" ht="15" customHeight="1"/>
    <row r="980" spans="1:6" ht="15" customHeight="1">
      <c r="A980" s="226"/>
    </row>
    <row r="981" spans="1:6" ht="15" customHeight="1">
      <c r="A981" s="39"/>
      <c r="F981" s="448"/>
    </row>
    <row r="982" spans="1:6" ht="15" customHeight="1"/>
    <row r="983" spans="1:6" ht="15" customHeight="1">
      <c r="F983" s="18"/>
    </row>
    <row r="984" spans="1:6" ht="15" customHeight="1"/>
    <row r="985" spans="1:6" ht="15" customHeight="1">
      <c r="A985" s="226"/>
    </row>
    <row r="986" spans="1:6" ht="15" customHeight="1">
      <c r="A986" s="39"/>
      <c r="F986" s="448"/>
    </row>
    <row r="987" spans="1:6" ht="15" customHeight="1"/>
    <row r="988" spans="1:6" ht="15" customHeight="1">
      <c r="F988" s="18"/>
    </row>
    <row r="989" spans="1:6" ht="15" customHeight="1"/>
    <row r="990" spans="1:6" ht="15" customHeight="1">
      <c r="A990" s="39"/>
    </row>
    <row r="991" spans="1:6" ht="15" customHeight="1">
      <c r="A991" s="39"/>
      <c r="F991" s="448"/>
    </row>
    <row r="992" spans="1:6" ht="15" customHeight="1"/>
    <row r="993" spans="1:6" ht="15" customHeight="1">
      <c r="F993" s="18"/>
    </row>
    <row r="994" spans="1:6" ht="15" customHeight="1"/>
    <row r="995" spans="1:6" ht="15" customHeight="1">
      <c r="A995" s="39"/>
    </row>
    <row r="996" spans="1:6" ht="15" customHeight="1">
      <c r="A996" s="39"/>
      <c r="F996" s="448"/>
    </row>
    <row r="997" spans="1:6" ht="15" customHeight="1"/>
    <row r="998" spans="1:6" ht="15" customHeight="1">
      <c r="F998" s="18"/>
    </row>
    <row r="999" spans="1:6" ht="15" customHeight="1"/>
    <row r="1000" spans="1:6" ht="15" customHeight="1">
      <c r="A1000" s="39"/>
    </row>
    <row r="1001" spans="1:6" ht="15" customHeight="1">
      <c r="A1001" s="39"/>
      <c r="F1001" s="448"/>
    </row>
    <row r="1002" spans="1:6" ht="15" customHeight="1"/>
    <row r="1003" spans="1:6" ht="15" customHeight="1">
      <c r="F1003" s="18"/>
    </row>
    <row r="1004" spans="1:6" ht="15" customHeight="1"/>
    <row r="1005" spans="1:6" ht="15" customHeight="1">
      <c r="A1005" s="39"/>
    </row>
    <row r="1006" spans="1:6" ht="15" customHeight="1">
      <c r="A1006" s="39"/>
      <c r="F1006" s="448"/>
    </row>
    <row r="1007" spans="1:6" ht="15" customHeight="1"/>
    <row r="1008" spans="1:6" ht="15" customHeight="1">
      <c r="F1008" s="18"/>
    </row>
    <row r="1009" spans="1:6" ht="15" customHeight="1"/>
    <row r="1010" spans="1:6" ht="15" customHeight="1">
      <c r="A1010" s="39"/>
    </row>
    <row r="1011" spans="1:6" ht="15" customHeight="1">
      <c r="A1011" s="39"/>
      <c r="F1011" s="448"/>
    </row>
    <row r="1012" spans="1:6" ht="15" customHeight="1"/>
    <row r="1013" spans="1:6" ht="15" customHeight="1">
      <c r="F1013" s="18"/>
    </row>
    <row r="1014" spans="1:6" ht="15" customHeight="1"/>
    <row r="1015" spans="1:6" ht="15" customHeight="1">
      <c r="A1015" s="39"/>
    </row>
    <row r="1016" spans="1:6" ht="15" customHeight="1">
      <c r="A1016" s="39"/>
      <c r="F1016" s="448"/>
    </row>
    <row r="1017" spans="1:6" ht="15" customHeight="1"/>
    <row r="1018" spans="1:6" ht="15" customHeight="1">
      <c r="F1018" s="18"/>
    </row>
    <row r="1019" spans="1:6" ht="15" customHeight="1"/>
    <row r="1020" spans="1:6" ht="15" customHeight="1"/>
    <row r="1021" spans="1:6" ht="15" customHeight="1">
      <c r="A1021" s="39"/>
      <c r="F1021" s="448"/>
    </row>
    <row r="1022" spans="1:6" ht="15" customHeight="1"/>
    <row r="1023" spans="1:6" ht="15" customHeight="1">
      <c r="F1023" s="18"/>
    </row>
    <row r="1024" spans="1:6" ht="15" customHeight="1"/>
    <row r="1025" spans="1:6" ht="15" customHeight="1"/>
    <row r="1026" spans="1:6" ht="15" customHeight="1">
      <c r="A1026" s="39"/>
      <c r="F1026" s="448"/>
    </row>
    <row r="1027" spans="1:6" ht="15" customHeight="1"/>
    <row r="1028" spans="1:6" ht="15" customHeight="1">
      <c r="F1028" s="18"/>
    </row>
    <row r="1029" spans="1:6" ht="15" customHeight="1"/>
    <row r="1030" spans="1:6" ht="15" customHeight="1"/>
    <row r="1031" spans="1:6" ht="15" customHeight="1">
      <c r="A1031" s="39"/>
      <c r="F1031" s="448"/>
    </row>
    <row r="1032" spans="1:6" ht="15" customHeight="1"/>
    <row r="1033" spans="1:6" ht="15" customHeight="1">
      <c r="F1033" s="18"/>
    </row>
    <row r="1034" spans="1:6" ht="15" customHeight="1"/>
    <row r="1035" spans="1:6" ht="15" customHeight="1"/>
    <row r="1036" spans="1:6" ht="15" customHeight="1">
      <c r="A1036" s="39"/>
      <c r="F1036" s="448"/>
    </row>
    <row r="1037" spans="1:6" ht="15" customHeight="1"/>
    <row r="1038" spans="1:6" ht="15" customHeight="1">
      <c r="F1038" s="18"/>
    </row>
    <row r="1039" spans="1:6" ht="15" customHeight="1"/>
    <row r="1040" spans="1:6" ht="15" customHeight="1"/>
    <row r="1041" spans="1:6" ht="15" customHeight="1">
      <c r="A1041" s="39"/>
      <c r="F1041" s="448"/>
    </row>
    <row r="1042" spans="1:6" ht="15" customHeight="1"/>
    <row r="1043" spans="1:6" ht="15" customHeight="1">
      <c r="F1043" s="18"/>
    </row>
    <row r="1044" spans="1:6" ht="15" customHeight="1"/>
    <row r="1045" spans="1:6" ht="15" customHeight="1"/>
    <row r="1046" spans="1:6" ht="15" customHeight="1">
      <c r="A1046" s="39"/>
    </row>
    <row r="1047" spans="1:6" ht="15" customHeight="1">
      <c r="A1047" s="39"/>
      <c r="F1047" s="448"/>
    </row>
    <row r="1048" spans="1:6" ht="15" customHeight="1"/>
    <row r="1049" spans="1:6" ht="15" customHeight="1">
      <c r="F1049" s="18"/>
    </row>
    <row r="1050" spans="1:6" ht="15" customHeight="1"/>
    <row r="1051" spans="1:6" ht="15" customHeight="1">
      <c r="A1051" s="39"/>
    </row>
    <row r="1052" spans="1:6" ht="15" customHeight="1">
      <c r="A1052" s="39"/>
      <c r="F1052" s="448"/>
    </row>
    <row r="1053" spans="1:6" ht="15" customHeight="1"/>
    <row r="1054" spans="1:6" ht="15" customHeight="1">
      <c r="F1054" s="18"/>
    </row>
    <row r="1055" spans="1:6" ht="15" customHeight="1"/>
    <row r="1056" spans="1:6" ht="15" customHeight="1">
      <c r="A1056" s="39"/>
    </row>
    <row r="1057" spans="1:6" ht="15" customHeight="1">
      <c r="A1057" s="39"/>
      <c r="F1057" s="448"/>
    </row>
    <row r="1058" spans="1:6" ht="15" customHeight="1"/>
    <row r="1059" spans="1:6" ht="15" customHeight="1">
      <c r="F1059" s="18"/>
    </row>
    <row r="1060" spans="1:6" ht="15" customHeight="1"/>
    <row r="1061" spans="1:6" ht="15" customHeight="1">
      <c r="A1061" s="39"/>
    </row>
    <row r="1062" spans="1:6" ht="15" customHeight="1">
      <c r="A1062" s="39"/>
      <c r="F1062" s="448"/>
    </row>
    <row r="1063" spans="1:6" ht="15" customHeight="1"/>
    <row r="1064" spans="1:6" ht="15" customHeight="1">
      <c r="F1064" s="18"/>
    </row>
    <row r="1065" spans="1:6" ht="15" customHeight="1"/>
    <row r="1066" spans="1:6" ht="15" customHeight="1"/>
    <row r="1067" spans="1:6" ht="15" customHeight="1">
      <c r="A1067" s="39"/>
      <c r="F1067" s="448"/>
    </row>
    <row r="1068" spans="1:6" ht="15" customHeight="1"/>
    <row r="1069" spans="1:6" ht="15" customHeight="1">
      <c r="F1069" s="18"/>
    </row>
    <row r="1070" spans="1:6" ht="15" customHeight="1"/>
    <row r="1071" spans="1:6" ht="15" customHeight="1"/>
    <row r="1072" spans="1:6" ht="15" customHeight="1">
      <c r="A1072" s="39"/>
      <c r="F1072" s="448"/>
    </row>
    <row r="1073" spans="1:6" ht="15" customHeight="1"/>
    <row r="1074" spans="1:6" ht="15" customHeight="1">
      <c r="F1074" s="18"/>
    </row>
    <row r="1075" spans="1:6" ht="15" customHeight="1"/>
    <row r="1076" spans="1:6" ht="15" customHeight="1"/>
    <row r="1077" spans="1:6" ht="15" customHeight="1">
      <c r="A1077" s="39"/>
      <c r="F1077" s="448"/>
    </row>
    <row r="1078" spans="1:6" ht="15" customHeight="1"/>
    <row r="1079" spans="1:6" ht="15" customHeight="1">
      <c r="F1079" s="18"/>
    </row>
    <row r="1080" spans="1:6" ht="15" customHeight="1"/>
    <row r="1081" spans="1:6" ht="15" customHeight="1">
      <c r="A1081" s="226"/>
    </row>
    <row r="1082" spans="1:6" ht="15" customHeight="1">
      <c r="A1082" s="39"/>
      <c r="F1082" s="448"/>
    </row>
    <row r="1083" spans="1:6" ht="15" customHeight="1"/>
    <row r="1084" spans="1:6" ht="15" customHeight="1">
      <c r="F1084" s="18"/>
    </row>
    <row r="1085" spans="1:6" ht="15" customHeight="1"/>
    <row r="1086" spans="1:6" ht="15" customHeight="1">
      <c r="A1086" s="226"/>
    </row>
    <row r="1087" spans="1:6" ht="15" customHeight="1">
      <c r="A1087" s="39"/>
      <c r="F1087" s="448"/>
    </row>
    <row r="1088" spans="1:6" ht="15" customHeight="1"/>
    <row r="1089" spans="1:6" ht="15" customHeight="1">
      <c r="F1089" s="18"/>
    </row>
    <row r="1090" spans="1:6" ht="15" customHeight="1"/>
    <row r="1091" spans="1:6" ht="15" customHeight="1">
      <c r="A1091" s="226"/>
    </row>
    <row r="1092" spans="1:6" ht="15" customHeight="1">
      <c r="A1092" s="39"/>
      <c r="F1092" s="448"/>
    </row>
    <row r="1093" spans="1:6" ht="15" customHeight="1"/>
    <row r="1094" spans="1:6" ht="15" customHeight="1">
      <c r="F1094" s="18"/>
    </row>
    <row r="1095" spans="1:6" ht="15" customHeight="1"/>
    <row r="1096" spans="1:6" ht="15" customHeight="1">
      <c r="A1096" s="226"/>
    </row>
    <row r="1097" spans="1:6" ht="15" customHeight="1">
      <c r="A1097" s="39"/>
      <c r="F1097" s="448"/>
    </row>
    <row r="1098" spans="1:6" ht="15" customHeight="1"/>
    <row r="1099" spans="1:6" ht="15" customHeight="1">
      <c r="F1099" s="18"/>
    </row>
    <row r="1100" spans="1:6" ht="15" customHeight="1"/>
    <row r="1101" spans="1:6" ht="15" customHeight="1"/>
    <row r="1102" spans="1:6" ht="15" customHeight="1">
      <c r="A1102" s="39"/>
      <c r="F1102" s="448"/>
    </row>
    <row r="1103" spans="1:6" ht="15" customHeight="1"/>
    <row r="1104" spans="1:6" ht="15" customHeight="1">
      <c r="F1104" s="18"/>
    </row>
    <row r="1105" spans="1:6" ht="15" customHeight="1"/>
    <row r="1106" spans="1:6" ht="15" customHeight="1"/>
    <row r="1107" spans="1:6" ht="15" customHeight="1">
      <c r="A1107" s="39"/>
      <c r="F1107" s="448"/>
    </row>
    <row r="1108" spans="1:6" ht="15" customHeight="1"/>
    <row r="1109" spans="1:6" ht="15" customHeight="1">
      <c r="F1109" s="18"/>
    </row>
    <row r="1110" spans="1:6" ht="15" customHeight="1"/>
    <row r="1111" spans="1:6" ht="15" customHeight="1"/>
    <row r="1112" spans="1:6" ht="15" customHeight="1">
      <c r="A1112" s="39"/>
      <c r="F1112" s="448"/>
    </row>
    <row r="1113" spans="1:6" ht="15" customHeight="1">
      <c r="A1113" s="450"/>
    </row>
    <row r="1114" spans="1:6" ht="15" customHeight="1">
      <c r="F1114" s="18"/>
    </row>
    <row r="1115" spans="1:6" ht="15" customHeight="1"/>
    <row r="1116" spans="1:6" ht="15" customHeight="1"/>
    <row r="1117" spans="1:6" ht="15" customHeight="1">
      <c r="A1117" s="450"/>
    </row>
    <row r="1118" spans="1:6" ht="15" customHeight="1"/>
    <row r="1119" spans="1:6" ht="15" customHeight="1"/>
    <row r="1120" spans="1:6" ht="15" customHeight="1"/>
    <row r="1121" spans="1:1" ht="15" customHeight="1">
      <c r="A1121" s="450"/>
    </row>
    <row r="1122" spans="1:1" ht="15" customHeight="1"/>
    <row r="1123" spans="1:1" ht="15" customHeight="1"/>
    <row r="1124" spans="1:1" ht="15" customHeight="1"/>
    <row r="1125" spans="1:1" ht="15" customHeight="1">
      <c r="A1125" s="450"/>
    </row>
    <row r="1126" spans="1:1" ht="15" customHeight="1"/>
    <row r="1127" spans="1:1" ht="15" customHeight="1"/>
    <row r="1128" spans="1:1" ht="15" customHeight="1"/>
    <row r="1129" spans="1:1" ht="15" customHeight="1">
      <c r="A1129" s="450"/>
    </row>
    <row r="1130" spans="1:1" ht="15" customHeight="1"/>
    <row r="1131" spans="1:1" ht="15" customHeight="1"/>
    <row r="1132" spans="1:1" ht="15" customHeight="1"/>
    <row r="1133" spans="1:1" ht="15" customHeight="1">
      <c r="A1133" s="450"/>
    </row>
    <row r="1134" spans="1:1" ht="15" customHeight="1"/>
    <row r="1135" spans="1:1" ht="15" customHeight="1"/>
    <row r="1136" spans="1:1" ht="15" customHeight="1"/>
    <row r="1137" spans="1:1" ht="15" customHeight="1">
      <c r="A1137" s="450"/>
    </row>
    <row r="1138" spans="1:1" ht="15" customHeight="1"/>
    <row r="1139" spans="1:1" ht="15" customHeight="1"/>
    <row r="1140" spans="1:1" ht="15" customHeight="1"/>
    <row r="1141" spans="1:1" ht="15" customHeight="1">
      <c r="A1141" s="450"/>
    </row>
    <row r="1142" spans="1:1" ht="15" customHeight="1"/>
    <row r="1143" spans="1:1" ht="15" customHeight="1"/>
    <row r="1144" spans="1:1" ht="15" customHeight="1"/>
    <row r="1145" spans="1:1" ht="15" customHeight="1">
      <c r="A1145" s="450"/>
    </row>
    <row r="1146" spans="1:1" ht="15" customHeight="1"/>
    <row r="1147" spans="1:1" ht="15" customHeight="1"/>
    <row r="1148" spans="1:1" ht="15" customHeight="1"/>
    <row r="1149" spans="1:1" ht="15" customHeight="1">
      <c r="A1149" s="450"/>
    </row>
    <row r="1150" spans="1:1" ht="15" customHeight="1"/>
    <row r="1151" spans="1:1" ht="15" customHeight="1"/>
    <row r="1152" spans="1:1" ht="15" customHeight="1"/>
    <row r="1153" spans="1:1" ht="15" customHeight="1">
      <c r="A1153" s="450"/>
    </row>
    <row r="1154" spans="1:1" ht="15" customHeight="1"/>
    <row r="1155" spans="1:1" ht="15" customHeight="1"/>
    <row r="1156" spans="1:1" ht="15" customHeight="1"/>
    <row r="1157" spans="1:1" ht="15" customHeight="1">
      <c r="A1157" s="450"/>
    </row>
    <row r="1158" spans="1:1" ht="15" customHeight="1"/>
    <row r="1159" spans="1:1" ht="15" customHeight="1"/>
    <row r="1160" spans="1:1" ht="15" customHeight="1"/>
    <row r="1161" spans="1:1" ht="15" customHeight="1">
      <c r="A1161" s="450"/>
    </row>
    <row r="1162" spans="1:1" ht="15" customHeight="1"/>
    <row r="1163" spans="1:1" ht="15" customHeight="1"/>
    <row r="1164" spans="1:1" ht="15" customHeight="1"/>
    <row r="1165" spans="1:1" ht="15" customHeight="1">
      <c r="A1165" s="450"/>
    </row>
    <row r="1166" spans="1:1" ht="15" customHeight="1"/>
    <row r="1167" spans="1:1" ht="15" customHeight="1"/>
    <row r="1168" spans="1:1" ht="15" customHeight="1"/>
    <row r="1169" spans="1:1" ht="15" customHeight="1">
      <c r="A1169" s="450"/>
    </row>
    <row r="1170" spans="1:1" ht="15" customHeight="1"/>
    <row r="1171" spans="1:1" ht="15" customHeight="1"/>
    <row r="1172" spans="1:1" ht="15" customHeight="1"/>
    <row r="1173" spans="1:1" ht="15" customHeight="1">
      <c r="A1173" s="450"/>
    </row>
    <row r="1174" spans="1:1" ht="15" customHeight="1"/>
    <row r="1175" spans="1:1" ht="15" customHeight="1"/>
    <row r="1176" spans="1:1" ht="15" customHeight="1"/>
    <row r="1177" spans="1:1" ht="15" customHeight="1">
      <c r="A1177" s="450"/>
    </row>
    <row r="1178" spans="1:1" ht="15" customHeight="1"/>
    <row r="1179" spans="1:1" ht="15" customHeight="1"/>
    <row r="1180" spans="1:1" ht="15" customHeight="1"/>
    <row r="1181" spans="1:1" ht="15" customHeight="1">
      <c r="A1181" s="450"/>
    </row>
    <row r="1182" spans="1:1" ht="15" customHeight="1"/>
    <row r="1183" spans="1:1" ht="15" customHeight="1"/>
    <row r="1184" spans="1:1" ht="15" customHeight="1"/>
    <row r="1185" spans="1:1" ht="15" customHeight="1"/>
    <row r="1186" spans="1:1" ht="15" customHeight="1">
      <c r="A1186" s="450"/>
    </row>
    <row r="1187" spans="1:1" ht="15" customHeight="1"/>
    <row r="1188" spans="1:1" ht="15" customHeight="1"/>
    <row r="1189" spans="1:1" ht="15" customHeight="1"/>
    <row r="1190" spans="1:1" ht="15" customHeight="1">
      <c r="A1190" s="450"/>
    </row>
    <row r="1191" spans="1:1" ht="15" customHeight="1"/>
    <row r="1192" spans="1:1" ht="15" customHeight="1"/>
    <row r="1193" spans="1:1" ht="15" customHeight="1"/>
    <row r="1194" spans="1:1" ht="15" customHeight="1">
      <c r="A1194" s="450"/>
    </row>
    <row r="1195" spans="1:1" ht="15" customHeight="1"/>
    <row r="1196" spans="1:1" ht="15" customHeight="1"/>
    <row r="1197" spans="1:1" ht="15" customHeight="1"/>
    <row r="1198" spans="1:1" ht="15" customHeight="1">
      <c r="A1198" s="450"/>
    </row>
    <row r="1199" spans="1:1" ht="15" customHeight="1"/>
    <row r="1200" spans="1:1" ht="15" customHeight="1"/>
    <row r="1201" spans="1:6" ht="15" customHeight="1"/>
    <row r="1202" spans="1:6" ht="15" customHeight="1">
      <c r="A1202" s="450"/>
    </row>
    <row r="1203" spans="1:6" ht="15" customHeight="1"/>
    <row r="1204" spans="1:6" ht="15" customHeight="1"/>
    <row r="1205" spans="1:6" ht="15" customHeight="1"/>
    <row r="1206" spans="1:6" ht="15" customHeight="1">
      <c r="A1206" s="226"/>
    </row>
    <row r="1207" spans="1:6" ht="15" customHeight="1">
      <c r="A1207" s="39"/>
      <c r="F1207" s="448"/>
    </row>
    <row r="1208" spans="1:6" ht="15" customHeight="1"/>
    <row r="1209" spans="1:6" ht="15" customHeight="1">
      <c r="F1209" s="18"/>
    </row>
    <row r="1210" spans="1:6" ht="15" customHeight="1"/>
    <row r="1211" spans="1:6" ht="15" customHeight="1">
      <c r="A1211" s="226"/>
    </row>
    <row r="1212" spans="1:6" ht="15" customHeight="1">
      <c r="A1212" s="39"/>
    </row>
    <row r="1213" spans="1:6" ht="15" customHeight="1"/>
    <row r="1214" spans="1:6" ht="15" customHeight="1"/>
    <row r="1215" spans="1:6" ht="15" customHeight="1"/>
    <row r="1216" spans="1:6" ht="15" customHeight="1">
      <c r="A1216" s="226"/>
    </row>
    <row r="1217" spans="1:1" ht="15" customHeight="1">
      <c r="A1217" s="39"/>
    </row>
    <row r="1218" spans="1:1" ht="15" customHeight="1"/>
    <row r="1219" spans="1:1" ht="15" customHeight="1"/>
    <row r="1220" spans="1:1" ht="15" customHeight="1"/>
    <row r="1221" spans="1:1" ht="15" customHeight="1">
      <c r="A1221" s="226"/>
    </row>
    <row r="1222" spans="1:1" ht="15" customHeight="1">
      <c r="A1222" s="39"/>
    </row>
    <row r="1223" spans="1:1" ht="15" customHeight="1"/>
    <row r="1224" spans="1:1" ht="15" customHeight="1"/>
    <row r="1225" spans="1:1" ht="15" customHeight="1"/>
    <row r="1226" spans="1:1" ht="15" customHeight="1">
      <c r="A1226" s="226"/>
    </row>
    <row r="1227" spans="1:1" ht="15" customHeight="1">
      <c r="A1227" s="39"/>
    </row>
    <row r="1228" spans="1:1" ht="15" customHeight="1"/>
    <row r="1229" spans="1:1" ht="15" customHeight="1"/>
    <row r="1230" spans="1:1" ht="15" customHeight="1"/>
    <row r="1231" spans="1:1" ht="15" customHeight="1">
      <c r="A1231" s="226"/>
    </row>
    <row r="1232" spans="1:1" ht="15" customHeight="1">
      <c r="A1232" s="39"/>
    </row>
    <row r="1233" spans="1:1" ht="15" customHeight="1"/>
    <row r="1234" spans="1:1" ht="15" customHeight="1"/>
    <row r="1235" spans="1:1" ht="15" customHeight="1"/>
    <row r="1236" spans="1:1" ht="15" customHeight="1">
      <c r="A1236" s="226"/>
    </row>
    <row r="1237" spans="1:1" ht="15" customHeight="1">
      <c r="A1237" s="39"/>
    </row>
    <row r="1238" spans="1:1" ht="15" customHeight="1"/>
    <row r="1239" spans="1:1" ht="15" customHeight="1"/>
    <row r="1240" spans="1:1" ht="15" customHeight="1"/>
    <row r="1241" spans="1:1" ht="15" customHeight="1">
      <c r="A1241" s="226"/>
    </row>
    <row r="1242" spans="1:1" ht="15" customHeight="1">
      <c r="A1242" s="39"/>
    </row>
    <row r="1243" spans="1:1" ht="15" customHeight="1"/>
    <row r="1244" spans="1:1" ht="15" customHeight="1"/>
    <row r="1245" spans="1:1" ht="15" customHeight="1"/>
    <row r="1246" spans="1:1" ht="15" customHeight="1">
      <c r="A1246" s="226"/>
    </row>
    <row r="1247" spans="1:1" ht="15" customHeight="1">
      <c r="A1247" s="39"/>
    </row>
    <row r="1248" spans="1:1" ht="15" customHeight="1"/>
    <row r="1249" spans="1:1" ht="15" customHeight="1"/>
    <row r="1250" spans="1:1" ht="15" customHeight="1"/>
    <row r="1251" spans="1:1" ht="15" customHeight="1">
      <c r="A1251" s="226"/>
    </row>
    <row r="1252" spans="1:1" ht="15" customHeight="1">
      <c r="A1252" s="39"/>
    </row>
    <row r="1253" spans="1:1" ht="15" customHeight="1"/>
    <row r="1254" spans="1:1" ht="15" customHeight="1"/>
    <row r="1255" spans="1:1" ht="15" customHeight="1"/>
    <row r="1256" spans="1:1" ht="15" customHeight="1">
      <c r="A1256" s="226"/>
    </row>
    <row r="1257" spans="1:1" ht="15" customHeight="1">
      <c r="A1257" s="39"/>
    </row>
    <row r="1258" spans="1:1" ht="15" customHeight="1"/>
    <row r="1259" spans="1:1" ht="15" customHeight="1"/>
    <row r="1260" spans="1:1" ht="15" customHeight="1"/>
    <row r="1261" spans="1:1" ht="15" customHeight="1">
      <c r="A1261" s="226"/>
    </row>
    <row r="1262" spans="1:1" ht="15" customHeight="1">
      <c r="A1262" s="39"/>
    </row>
    <row r="1263" spans="1:1" ht="15" customHeight="1"/>
    <row r="1264" spans="1:1" ht="15" customHeight="1"/>
    <row r="1265" spans="1:1" ht="15" customHeight="1"/>
    <row r="1266" spans="1:1" ht="15" customHeight="1">
      <c r="A1266" s="226"/>
    </row>
    <row r="1267" spans="1:1" ht="15" customHeight="1">
      <c r="A1267" s="39"/>
    </row>
    <row r="1268" spans="1:1" ht="15" customHeight="1"/>
    <row r="1269" spans="1:1" ht="15" customHeight="1"/>
    <row r="1270" spans="1:1" ht="15" customHeight="1"/>
    <row r="1271" spans="1:1" ht="15" customHeight="1">
      <c r="A1271" s="226"/>
    </row>
    <row r="1272" spans="1:1" ht="15" customHeight="1">
      <c r="A1272" s="39"/>
    </row>
    <row r="1273" spans="1:1" ht="15" customHeight="1"/>
    <row r="1274" spans="1:1" ht="15" customHeight="1"/>
    <row r="1275" spans="1:1" ht="15" customHeight="1"/>
    <row r="1276" spans="1:1" ht="15" customHeight="1">
      <c r="A1276" s="226"/>
    </row>
    <row r="1277" spans="1:1" ht="15" customHeight="1">
      <c r="A1277" s="39"/>
    </row>
    <row r="1278" spans="1:1" ht="15" customHeight="1"/>
    <row r="1279" spans="1:1" ht="15" customHeight="1"/>
    <row r="1280" spans="1:1" ht="15" customHeight="1"/>
    <row r="1281" spans="1:1" ht="15" customHeight="1">
      <c r="A1281" s="226"/>
    </row>
    <row r="1282" spans="1:1" ht="15" customHeight="1">
      <c r="A1282" s="39"/>
    </row>
    <row r="1283" spans="1:1" ht="15" customHeight="1"/>
    <row r="1284" spans="1:1" ht="15" customHeight="1"/>
    <row r="1285" spans="1:1" ht="15" customHeight="1"/>
    <row r="1286" spans="1:1" ht="15" customHeight="1">
      <c r="A1286" s="226"/>
    </row>
    <row r="1287" spans="1:1" ht="15" customHeight="1">
      <c r="A1287" s="39"/>
    </row>
    <row r="1288" spans="1:1" ht="15" customHeight="1"/>
    <row r="1289" spans="1:1" ht="15" customHeight="1"/>
    <row r="1290" spans="1:1" ht="15" customHeight="1"/>
    <row r="1291" spans="1:1" ht="15" customHeight="1">
      <c r="A1291" s="226"/>
    </row>
    <row r="1292" spans="1:1" ht="15" customHeight="1">
      <c r="A1292" s="39"/>
    </row>
    <row r="1293" spans="1:1" ht="15" customHeight="1"/>
    <row r="1294" spans="1:1" ht="15" customHeight="1"/>
    <row r="1295" spans="1:1" ht="15" customHeight="1"/>
    <row r="1296" spans="1:1" ht="15" customHeight="1">
      <c r="A1296" s="226"/>
    </row>
    <row r="1297" spans="1:1" ht="15" customHeight="1">
      <c r="A1297" s="39"/>
    </row>
    <row r="1298" spans="1:1" ht="15" customHeight="1"/>
    <row r="1299" spans="1:1" ht="15" customHeight="1"/>
    <row r="1300" spans="1:1" ht="15" customHeight="1"/>
    <row r="1301" spans="1:1" ht="15" customHeight="1">
      <c r="A1301" s="226"/>
    </row>
    <row r="1302" spans="1:1" ht="15" customHeight="1">
      <c r="A1302" s="39"/>
    </row>
    <row r="1303" spans="1:1" ht="15" customHeight="1"/>
    <row r="1304" spans="1:1" ht="15" customHeight="1"/>
    <row r="1305" spans="1:1" ht="15" customHeight="1"/>
    <row r="1306" spans="1:1" ht="15" customHeight="1">
      <c r="A1306" s="226"/>
    </row>
    <row r="1307" spans="1:1" ht="15" customHeight="1">
      <c r="A1307" s="226"/>
    </row>
    <row r="1308" spans="1:1" ht="15" customHeight="1"/>
    <row r="1309" spans="1:1" ht="15" customHeight="1">
      <c r="A1309" s="39"/>
    </row>
    <row r="1310" spans="1:1" ht="15" customHeight="1"/>
    <row r="1311" spans="1:1" ht="15" customHeight="1">
      <c r="A1311" s="451"/>
    </row>
    <row r="1312" spans="1:1" ht="15" customHeight="1">
      <c r="A1312" s="226"/>
    </row>
    <row r="1313" spans="1:1" ht="15" customHeight="1">
      <c r="A1313" s="226"/>
    </row>
    <row r="1314" spans="1:1" ht="15" customHeight="1">
      <c r="A1314" s="226"/>
    </row>
    <row r="1315" spans="1:1" ht="15" customHeight="1">
      <c r="A1315" s="1"/>
    </row>
    <row r="1316" spans="1:1" ht="15" customHeight="1">
      <c r="A1316" s="451"/>
    </row>
    <row r="1317" spans="1:1" ht="15" customHeight="1">
      <c r="A1317" s="226"/>
    </row>
    <row r="1318" spans="1:1" ht="15" customHeight="1">
      <c r="A1318" s="226"/>
    </row>
    <row r="1319" spans="1:1" ht="15" customHeight="1">
      <c r="A1319" s="226"/>
    </row>
    <row r="1320" spans="1:1" ht="15" customHeight="1">
      <c r="A1320" s="1"/>
    </row>
    <row r="1321" spans="1:1" ht="15" customHeight="1">
      <c r="A1321" s="451"/>
    </row>
    <row r="1322" spans="1:1" ht="15" customHeight="1">
      <c r="A1322" s="226"/>
    </row>
    <row r="1323" spans="1:1" ht="15" customHeight="1">
      <c r="A1323" s="226"/>
    </row>
    <row r="1324" spans="1:1" ht="15" customHeight="1">
      <c r="A1324" s="226"/>
    </row>
    <row r="1325" spans="1:1" ht="15" customHeight="1">
      <c r="A1325" s="1"/>
    </row>
    <row r="1326" spans="1:1" ht="15" customHeight="1">
      <c r="A1326" s="451"/>
    </row>
    <row r="1327" spans="1:1" ht="15" customHeight="1">
      <c r="A1327" s="226"/>
    </row>
    <row r="1328" spans="1:1" ht="15" customHeight="1">
      <c r="A1328" s="226"/>
    </row>
    <row r="1329" spans="1:1" ht="15" customHeight="1">
      <c r="A1329" s="226"/>
    </row>
    <row r="1330" spans="1:1" ht="15" customHeight="1">
      <c r="A1330" s="1"/>
    </row>
    <row r="1331" spans="1:1" ht="15" customHeight="1">
      <c r="A1331" s="451"/>
    </row>
    <row r="1332" spans="1:1" ht="15" customHeight="1">
      <c r="A1332" s="226"/>
    </row>
    <row r="1333" spans="1:1" ht="15" customHeight="1">
      <c r="A1333" s="226"/>
    </row>
    <row r="1334" spans="1:1" ht="15" customHeight="1">
      <c r="A1334" s="226"/>
    </row>
    <row r="1335" spans="1:1" ht="15" customHeight="1">
      <c r="A1335" s="1"/>
    </row>
    <row r="1336" spans="1:1" ht="15" customHeight="1">
      <c r="A1336" s="451"/>
    </row>
    <row r="1337" spans="1:1" ht="15" customHeight="1">
      <c r="A1337" s="226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1"/>
    </row>
    <row r="1341" spans="1:1" ht="15" customHeight="1">
      <c r="A1341" s="451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1"/>
    </row>
    <row r="1346" spans="1:1" ht="15" customHeight="1">
      <c r="A1346" s="451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226"/>
    </row>
    <row r="1350" spans="1:1" ht="15" customHeight="1">
      <c r="A1350" s="1"/>
    </row>
    <row r="1351" spans="1:1" ht="15" customHeight="1">
      <c r="A1351" s="451"/>
    </row>
    <row r="1352" spans="1:1" ht="15" customHeight="1">
      <c r="A1352" s="226"/>
    </row>
    <row r="1353" spans="1:1" ht="15" customHeight="1">
      <c r="A1353" s="226"/>
    </row>
    <row r="1354" spans="1:1" ht="15" customHeight="1">
      <c r="A1354" s="226"/>
    </row>
    <row r="1355" spans="1:1" ht="15" customHeight="1">
      <c r="A1355" s="1"/>
    </row>
    <row r="1356" spans="1:1" ht="15" customHeight="1">
      <c r="A1356" s="451"/>
    </row>
    <row r="1357" spans="1:1" ht="15" customHeight="1">
      <c r="A1357" s="226"/>
    </row>
    <row r="1358" spans="1:1" ht="15" customHeight="1">
      <c r="A1358" s="226"/>
    </row>
    <row r="1359" spans="1:1" ht="15" customHeight="1">
      <c r="A1359" s="226"/>
    </row>
    <row r="1360" spans="1:1" ht="15" customHeight="1">
      <c r="A1360" s="1"/>
    </row>
    <row r="1361" spans="1:1" ht="15" customHeight="1">
      <c r="A1361" s="451"/>
    </row>
    <row r="1362" spans="1:1" ht="15" customHeight="1">
      <c r="A1362" s="92"/>
    </row>
    <row r="1363" spans="1:1" ht="15" customHeight="1">
      <c r="A1363" s="93"/>
    </row>
    <row r="1364" spans="1:1" ht="15" customHeight="1">
      <c r="A1364" s="94"/>
    </row>
    <row r="1365" spans="1:1" ht="15" customHeight="1">
      <c r="A1365" s="10"/>
    </row>
    <row r="1366" spans="1:1" ht="15" customHeight="1">
      <c r="A1366" s="17"/>
    </row>
    <row r="1367" spans="1:1" ht="15" customHeight="1">
      <c r="A1367" s="92"/>
    </row>
    <row r="1368" spans="1:1" ht="15" customHeight="1">
      <c r="A1368" s="93"/>
    </row>
    <row r="1369" spans="1:1" ht="15" customHeight="1">
      <c r="A1369" s="94"/>
    </row>
    <row r="1370" spans="1:1" ht="15" customHeight="1">
      <c r="A1370" s="94"/>
    </row>
    <row r="1371" spans="1:1" ht="15" customHeight="1">
      <c r="A1371" s="10"/>
    </row>
    <row r="1372" spans="1:1" ht="15" customHeight="1">
      <c r="A1372" s="17"/>
    </row>
    <row r="1373" spans="1:1" ht="15" customHeight="1">
      <c r="A1373" s="92"/>
    </row>
    <row r="1374" spans="1:1" ht="15" customHeight="1">
      <c r="A1374" s="93"/>
    </row>
    <row r="1375" spans="1:1" ht="15" customHeight="1">
      <c r="A1375" s="94"/>
    </row>
    <row r="1376" spans="1:1" ht="15" customHeight="1">
      <c r="A1376" s="10"/>
    </row>
    <row r="1377" spans="1:1" ht="15" customHeight="1">
      <c r="A1377" s="17"/>
    </row>
    <row r="1378" spans="1:1" ht="15" customHeight="1">
      <c r="A1378" s="92"/>
    </row>
    <row r="1379" spans="1:1" ht="15" customHeight="1">
      <c r="A1379" s="93"/>
    </row>
    <row r="1380" spans="1:1" ht="15" customHeight="1">
      <c r="A1380" s="94"/>
    </row>
    <row r="1381" spans="1:1" ht="15" customHeight="1">
      <c r="A1381" s="10"/>
    </row>
    <row r="1382" spans="1:1" ht="15" customHeight="1">
      <c r="A1382" s="17"/>
    </row>
    <row r="1383" spans="1:1" ht="15" customHeight="1">
      <c r="A1383" s="92"/>
    </row>
    <row r="1384" spans="1:1" ht="15" customHeight="1">
      <c r="A1384" s="93"/>
    </row>
    <row r="1385" spans="1:1" ht="15" customHeight="1">
      <c r="A1385" s="94"/>
    </row>
    <row r="1386" spans="1:1" ht="15" customHeight="1">
      <c r="A1386" s="10"/>
    </row>
    <row r="1387" spans="1:1" ht="15" customHeight="1">
      <c r="A1387" s="17"/>
    </row>
    <row r="1388" spans="1:1" ht="15" customHeight="1">
      <c r="A1388" s="92"/>
    </row>
    <row r="1389" spans="1:1" ht="15" customHeight="1">
      <c r="A1389" s="93"/>
    </row>
    <row r="1390" spans="1:1" ht="15" customHeight="1">
      <c r="A1390" s="94"/>
    </row>
    <row r="1391" spans="1:1" ht="15" customHeight="1">
      <c r="A1391" s="10"/>
    </row>
    <row r="1392" spans="1:1" ht="15" customHeight="1">
      <c r="A1392" s="17"/>
    </row>
    <row r="1393" spans="1:1" ht="15" customHeight="1">
      <c r="A1393" s="92"/>
    </row>
    <row r="1394" spans="1:1" ht="15" customHeight="1">
      <c r="A1394" s="93"/>
    </row>
    <row r="1395" spans="1:1" ht="15" customHeight="1">
      <c r="A1395" s="94"/>
    </row>
    <row r="1396" spans="1:1" ht="15" customHeight="1">
      <c r="A1396" s="10"/>
    </row>
    <row r="1397" spans="1:1" ht="15" customHeight="1">
      <c r="A1397" s="17"/>
    </row>
    <row r="1398" spans="1:1" ht="15" customHeight="1">
      <c r="A1398" s="92"/>
    </row>
    <row r="1399" spans="1:1" ht="15" customHeight="1">
      <c r="A1399" s="93"/>
    </row>
    <row r="1400" spans="1:1" ht="15" customHeight="1">
      <c r="A1400" s="94"/>
    </row>
    <row r="1401" spans="1:1" ht="15" customHeight="1">
      <c r="A1401" s="10"/>
    </row>
    <row r="1402" spans="1:1" ht="15" customHeight="1">
      <c r="A1402" s="17"/>
    </row>
    <row r="1403" spans="1:1" ht="15" customHeight="1">
      <c r="A1403" s="92"/>
    </row>
    <row r="1404" spans="1:1" ht="15" customHeight="1">
      <c r="A1404" s="93"/>
    </row>
    <row r="1405" spans="1:1" ht="15" customHeight="1">
      <c r="A1405" s="94"/>
    </row>
    <row r="1406" spans="1:1" ht="15" customHeight="1">
      <c r="A1406" s="10"/>
    </row>
    <row r="1407" spans="1:1" ht="15" customHeight="1">
      <c r="A1407" s="17"/>
    </row>
    <row r="1408" spans="1:1" ht="15" customHeight="1">
      <c r="A1408" s="92"/>
    </row>
    <row r="1409" spans="1:1" ht="15" customHeight="1">
      <c r="A1409" s="93"/>
    </row>
    <row r="1410" spans="1:1" ht="15" customHeight="1">
      <c r="A1410" s="94"/>
    </row>
    <row r="1411" spans="1:1" ht="15" customHeight="1">
      <c r="A1411" s="10"/>
    </row>
    <row r="1412" spans="1:1" ht="15" customHeight="1">
      <c r="A1412" s="17"/>
    </row>
    <row r="1413" spans="1:1" ht="15" customHeight="1">
      <c r="A1413" s="92"/>
    </row>
    <row r="1414" spans="1:1" ht="15" customHeight="1">
      <c r="A1414" s="93"/>
    </row>
    <row r="1415" spans="1:1" ht="15" customHeight="1">
      <c r="A1415" s="94"/>
    </row>
    <row r="1416" spans="1:1" ht="15" customHeight="1">
      <c r="A1416" s="10"/>
    </row>
    <row r="1417" spans="1:1" ht="15" customHeight="1">
      <c r="A1417" s="27"/>
    </row>
    <row r="1418" spans="1:1" ht="15" customHeight="1">
      <c r="A1418" s="92"/>
    </row>
    <row r="1419" spans="1:1" ht="15" customHeight="1">
      <c r="A1419" s="93"/>
    </row>
    <row r="1420" spans="1:1" ht="15" customHeight="1">
      <c r="A1420" s="94"/>
    </row>
    <row r="1421" spans="1:1" ht="15" customHeight="1">
      <c r="A1421" s="10"/>
    </row>
    <row r="1422" spans="1:1" ht="15" customHeight="1">
      <c r="A1422" s="27"/>
    </row>
    <row r="1423" spans="1:1" ht="15" customHeight="1">
      <c r="A1423" s="92"/>
    </row>
    <row r="1424" spans="1:1" ht="15" customHeight="1">
      <c r="A1424" s="93"/>
    </row>
    <row r="1425" spans="1:1" ht="15" customHeight="1">
      <c r="A1425" s="94"/>
    </row>
    <row r="1426" spans="1:1" ht="15" customHeight="1">
      <c r="A1426" s="21"/>
    </row>
    <row r="1427" spans="1:1" ht="15" customHeight="1">
      <c r="A1427" s="24"/>
    </row>
    <row r="1428" spans="1:1" ht="15" customHeight="1">
      <c r="A1428" s="92"/>
    </row>
    <row r="1429" spans="1:1" ht="15" customHeight="1">
      <c r="A1429" s="93"/>
    </row>
    <row r="1430" spans="1:1" ht="15" customHeight="1">
      <c r="A1430" s="94"/>
    </row>
    <row r="1431" spans="1:1" ht="15" customHeight="1">
      <c r="A1431" s="21"/>
    </row>
    <row r="1432" spans="1:1" ht="15" customHeight="1">
      <c r="A1432" s="24"/>
    </row>
    <row r="1433" spans="1:1" ht="15" customHeight="1">
      <c r="A1433" s="92"/>
    </row>
    <row r="1434" spans="1:1" ht="15" customHeight="1">
      <c r="A1434" s="93"/>
    </row>
    <row r="1435" spans="1:1" ht="15" customHeight="1">
      <c r="A1435" s="94"/>
    </row>
    <row r="1436" spans="1:1" s="170" customFormat="1" ht="15" customHeight="1">
      <c r="A1436" s="94"/>
    </row>
    <row r="1437" spans="1:1" ht="15" customHeight="1">
      <c r="A1437" s="24"/>
    </row>
    <row r="1438" spans="1:1" ht="15" customHeight="1">
      <c r="A1438" s="92"/>
    </row>
    <row r="1439" spans="1:1" ht="15" customHeight="1">
      <c r="A1439" s="93"/>
    </row>
    <row r="1440" spans="1:1" ht="15" customHeight="1">
      <c r="A1440" s="94"/>
    </row>
    <row r="1441" spans="1:1" ht="15" customHeight="1">
      <c r="A1441" s="21"/>
    </row>
    <row r="1442" spans="1:1" ht="15" customHeight="1">
      <c r="A1442" s="24"/>
    </row>
    <row r="1443" spans="1:1" ht="15" customHeight="1">
      <c r="A1443" s="92"/>
    </row>
    <row r="1444" spans="1:1" ht="15" customHeight="1">
      <c r="A1444" s="93"/>
    </row>
    <row r="1445" spans="1:1" ht="15" customHeight="1">
      <c r="A1445" s="94"/>
    </row>
    <row r="1446" spans="1:1" ht="15" customHeight="1">
      <c r="A1446" s="21"/>
    </row>
    <row r="1447" spans="1:1" ht="15" customHeight="1">
      <c r="A1447" s="24"/>
    </row>
    <row r="1448" spans="1:1" ht="15" customHeight="1">
      <c r="A1448" s="92"/>
    </row>
    <row r="1449" spans="1:1" ht="15" customHeight="1">
      <c r="A1449" s="93"/>
    </row>
    <row r="1450" spans="1:1" ht="15" customHeight="1">
      <c r="A1450" s="94"/>
    </row>
    <row r="1451" spans="1:1" ht="15" customHeight="1">
      <c r="A1451" s="21"/>
    </row>
    <row r="1452" spans="1:1" ht="15" customHeight="1">
      <c r="A1452" s="24"/>
    </row>
    <row r="1453" spans="1:1" ht="15" customHeight="1">
      <c r="A1453" s="92"/>
    </row>
    <row r="1454" spans="1:1" ht="15" customHeight="1">
      <c r="A1454" s="93"/>
    </row>
    <row r="1455" spans="1:1" ht="15" customHeight="1">
      <c r="A1455" s="94"/>
    </row>
    <row r="1456" spans="1:1" ht="15" customHeight="1">
      <c r="A1456" s="21"/>
    </row>
    <row r="1457" spans="1:1" ht="15" customHeight="1">
      <c r="A1457" s="24"/>
    </row>
    <row r="1458" spans="1:1" ht="15" customHeight="1">
      <c r="A1458" s="92"/>
    </row>
    <row r="1459" spans="1:1" ht="15" customHeight="1">
      <c r="A1459" s="93"/>
    </row>
    <row r="1460" spans="1:1" ht="15" customHeight="1">
      <c r="A1460" s="94"/>
    </row>
    <row r="1461" spans="1:1" ht="15" customHeight="1">
      <c r="A1461" s="21"/>
    </row>
    <row r="1462" spans="1:1" ht="15" customHeight="1">
      <c r="A1462" s="24"/>
    </row>
    <row r="1463" spans="1:1" ht="15" customHeight="1">
      <c r="A1463" s="92"/>
    </row>
    <row r="1464" spans="1:1" ht="15" customHeight="1">
      <c r="A1464" s="93"/>
    </row>
    <row r="1465" spans="1:1" ht="15" customHeight="1">
      <c r="A1465" s="94"/>
    </row>
    <row r="1466" spans="1:1" ht="15" customHeight="1">
      <c r="A1466" s="21"/>
    </row>
    <row r="1467" spans="1:1" ht="15" customHeight="1">
      <c r="A1467" s="24"/>
    </row>
    <row r="1468" spans="1:1" ht="15" customHeight="1">
      <c r="A1468" s="92"/>
    </row>
    <row r="1469" spans="1:1" ht="15" customHeight="1">
      <c r="A1469" s="93"/>
    </row>
    <row r="1470" spans="1:1" ht="15" customHeight="1">
      <c r="A1470" s="94"/>
    </row>
    <row r="1471" spans="1:1" ht="15" customHeight="1">
      <c r="A1471" s="21"/>
    </row>
    <row r="1472" spans="1:1" ht="15" customHeight="1">
      <c r="A1472" s="24"/>
    </row>
    <row r="1473" spans="1:1" ht="15" customHeight="1">
      <c r="A1473" s="92"/>
    </row>
    <row r="1474" spans="1:1" ht="15" customHeight="1">
      <c r="A1474" s="93"/>
    </row>
    <row r="1475" spans="1:1" ht="15" customHeight="1">
      <c r="A1475" s="94"/>
    </row>
    <row r="1476" spans="1:1" ht="15" customHeight="1">
      <c r="A1476" s="21"/>
    </row>
    <row r="1477" spans="1:1" ht="15" customHeight="1">
      <c r="A1477" s="24"/>
    </row>
    <row r="1478" spans="1:1" ht="15" customHeight="1">
      <c r="A1478" s="92"/>
    </row>
    <row r="1479" spans="1:1" ht="15" customHeight="1">
      <c r="A1479" s="93"/>
    </row>
    <row r="1480" spans="1:1" ht="15" customHeight="1">
      <c r="A1480" s="94"/>
    </row>
    <row r="1481" spans="1:1" ht="15" customHeight="1">
      <c r="A1481" s="21"/>
    </row>
    <row r="1482" spans="1:1" ht="15" customHeight="1">
      <c r="A1482" s="24"/>
    </row>
    <row r="1483" spans="1:1" ht="15" customHeight="1">
      <c r="A1483" s="92"/>
    </row>
    <row r="1484" spans="1:1" ht="15" customHeight="1">
      <c r="A1484" s="93"/>
    </row>
    <row r="1485" spans="1:1" ht="15" customHeight="1">
      <c r="A1485" s="94"/>
    </row>
    <row r="1486" spans="1:1" ht="15" customHeight="1">
      <c r="A1486" s="21"/>
    </row>
    <row r="1487" spans="1:1" ht="15" customHeight="1">
      <c r="A1487" s="24"/>
    </row>
    <row r="1488" spans="1:1" ht="15" customHeight="1">
      <c r="A1488" s="92"/>
    </row>
    <row r="1489" spans="1:1" ht="15" customHeight="1">
      <c r="A1489" s="93"/>
    </row>
    <row r="1490" spans="1:1" ht="15" customHeight="1">
      <c r="A1490" s="94"/>
    </row>
    <row r="1491" spans="1:1" ht="15" customHeight="1"/>
    <row r="1492" spans="1:1" ht="15" customHeight="1">
      <c r="A1492" s="24"/>
    </row>
    <row r="1493" spans="1:1" ht="15" customHeight="1">
      <c r="A1493" s="92"/>
    </row>
    <row r="1494" spans="1:1" ht="15" customHeight="1">
      <c r="A1494" s="93"/>
    </row>
    <row r="1495" spans="1:1" ht="15" customHeight="1">
      <c r="A1495" s="94"/>
    </row>
    <row r="1496" spans="1:1" ht="15" customHeight="1"/>
    <row r="1497" spans="1:1" ht="15" customHeight="1">
      <c r="A1497" s="24"/>
    </row>
    <row r="1498" spans="1:1" ht="15" customHeight="1">
      <c r="A1498" s="92"/>
    </row>
    <row r="1499" spans="1:1" ht="15" customHeight="1">
      <c r="A1499" s="93"/>
    </row>
    <row r="1500" spans="1:1" ht="15" customHeight="1">
      <c r="A1500" s="94"/>
    </row>
    <row r="1501" spans="1:1" ht="15" customHeight="1"/>
    <row r="1502" spans="1:1" ht="15" customHeight="1">
      <c r="A1502" s="24"/>
    </row>
    <row r="1503" spans="1:1" ht="15" customHeight="1">
      <c r="A1503" s="92"/>
    </row>
    <row r="1504" spans="1:1" ht="15" customHeight="1">
      <c r="A1504" s="93"/>
    </row>
    <row r="1505" spans="1:1" ht="15" customHeight="1">
      <c r="A1505" s="94"/>
    </row>
    <row r="1506" spans="1:1" ht="15" customHeight="1"/>
    <row r="1507" spans="1:1" ht="15" customHeight="1">
      <c r="A1507" s="24"/>
    </row>
    <row r="1508" spans="1:1" ht="15" customHeight="1">
      <c r="A1508" s="92"/>
    </row>
    <row r="1509" spans="1:1" ht="15" customHeight="1">
      <c r="A1509" s="93"/>
    </row>
    <row r="1510" spans="1:1" ht="15" customHeight="1">
      <c r="A1510" s="94"/>
    </row>
    <row r="1511" spans="1:1" ht="15" customHeight="1"/>
    <row r="1512" spans="1:1" ht="15" customHeight="1">
      <c r="A1512" s="24"/>
    </row>
    <row r="1513" spans="1:1" ht="15" customHeight="1">
      <c r="A1513" s="92"/>
    </row>
    <row r="1514" spans="1:1" ht="15" customHeight="1">
      <c r="A1514" s="93"/>
    </row>
    <row r="1515" spans="1:1" ht="15" customHeight="1">
      <c r="A1515" s="94"/>
    </row>
    <row r="1516" spans="1:1" ht="15" customHeight="1"/>
    <row r="1517" spans="1:1" ht="15" customHeight="1">
      <c r="A1517" s="24"/>
    </row>
    <row r="1518" spans="1:1" ht="15" customHeight="1">
      <c r="A1518" s="92"/>
    </row>
    <row r="1519" spans="1:1" ht="15" customHeight="1">
      <c r="A1519" s="93"/>
    </row>
    <row r="1520" spans="1:1" ht="15" customHeight="1">
      <c r="A1520" s="94"/>
    </row>
    <row r="1521" spans="1:1" ht="15" customHeight="1"/>
    <row r="1522" spans="1:1" ht="15" customHeight="1">
      <c r="A1522" s="24"/>
    </row>
    <row r="1523" spans="1:1" ht="15" customHeight="1">
      <c r="A1523" s="92"/>
    </row>
    <row r="1524" spans="1:1" ht="15" customHeight="1">
      <c r="A1524" s="93"/>
    </row>
    <row r="1525" spans="1:1" ht="15" customHeight="1">
      <c r="A1525" s="94"/>
    </row>
    <row r="1526" spans="1:1" ht="15" customHeight="1"/>
    <row r="1527" spans="1:1" ht="15" customHeight="1"/>
    <row r="1528" spans="1:1" ht="15" customHeight="1"/>
    <row r="1529" spans="1:1" ht="15" customHeight="1"/>
    <row r="1530" spans="1:1" ht="15" customHeight="1"/>
    <row r="1531" spans="1:1" ht="15" customHeight="1"/>
    <row r="1532" spans="1:1" ht="15" customHeight="1"/>
    <row r="1533" spans="1:1" ht="15" customHeight="1"/>
    <row r="1534" spans="1:1" ht="15" customHeight="1"/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</sheetData>
  <sortState xmlns:xlrd2="http://schemas.microsoft.com/office/spreadsheetml/2017/richdata2" ref="A1169:A1173">
    <sortCondition ref="A1169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61" workbookViewId="0">
      <pane xSplit="4" topLeftCell="J1" activePane="topRight" state="frozen"/>
      <selection pane="topRight" activeCell="N65" sqref="N65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3464</v>
      </c>
      <c r="F4" s="110" t="s">
        <v>4622</v>
      </c>
      <c r="G4" s="110" t="s">
        <v>2197</v>
      </c>
      <c r="H4" s="110" t="s">
        <v>2200</v>
      </c>
      <c r="I4" s="110" t="s">
        <v>2202</v>
      </c>
      <c r="J4" s="110" t="s">
        <v>2203</v>
      </c>
      <c r="K4" s="110" t="s">
        <v>2204</v>
      </c>
      <c r="L4" s="110" t="s">
        <v>4826</v>
      </c>
      <c r="M4" s="110" t="s">
        <v>4827</v>
      </c>
      <c r="N4" s="110" t="s">
        <v>2184</v>
      </c>
      <c r="O4" s="110" t="s">
        <v>4828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3386</v>
      </c>
      <c r="B5" s="3"/>
      <c r="C5" s="3"/>
      <c r="D5" s="33">
        <f t="shared" ref="D5:D36" si="0">SUM(E5:DZ5)</f>
        <v>2930.1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515">
        <v>344.2</v>
      </c>
      <c r="M5" s="515">
        <v>444.29999999999927</v>
      </c>
      <c r="N5" s="9"/>
      <c r="O5" s="9"/>
      <c r="P5" s="9"/>
      <c r="Q5" s="513"/>
      <c r="R5" s="513"/>
      <c r="S5" s="361"/>
      <c r="T5" s="514"/>
      <c r="U5" s="513"/>
      <c r="V5" s="515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2014</v>
      </c>
      <c r="B6" s="3"/>
      <c r="C6" s="3"/>
      <c r="D6" s="33">
        <f t="shared" si="0"/>
        <v>2099.5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515">
        <v>0</v>
      </c>
      <c r="M6" s="515">
        <v>427.49999999999909</v>
      </c>
      <c r="N6" s="9"/>
      <c r="O6" s="9"/>
      <c r="P6" s="9"/>
      <c r="Q6" s="516"/>
      <c r="R6" s="513"/>
      <c r="S6" s="348"/>
      <c r="T6" s="514"/>
      <c r="U6" s="513"/>
      <c r="V6" s="515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3364.7999999999993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515">
        <v>381.2</v>
      </c>
      <c r="M7" s="515">
        <v>442.60000000000036</v>
      </c>
      <c r="N7" s="9"/>
      <c r="O7" s="9"/>
      <c r="P7" s="9"/>
      <c r="Q7" s="225"/>
      <c r="R7" s="513"/>
      <c r="S7" s="348"/>
      <c r="T7" s="514"/>
      <c r="U7" s="513"/>
      <c r="V7" s="515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2007</v>
      </c>
      <c r="B8" s="3"/>
      <c r="C8" s="3"/>
      <c r="D8" s="33">
        <f t="shared" si="0"/>
        <v>1983.9999999999986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515">
        <v>173.3</v>
      </c>
      <c r="M8" s="515">
        <v>281.89999999999964</v>
      </c>
      <c r="N8" s="9"/>
      <c r="O8" s="9"/>
      <c r="P8" s="9"/>
      <c r="Q8" s="516"/>
      <c r="R8" s="513"/>
      <c r="S8" s="348"/>
      <c r="T8" s="514"/>
      <c r="U8" s="513"/>
      <c r="V8" s="515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2912.6999999999966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515">
        <v>162.30000000000001</v>
      </c>
      <c r="M9" s="515">
        <v>522.99999999999818</v>
      </c>
      <c r="N9" s="9"/>
      <c r="O9" s="9"/>
      <c r="P9" s="9"/>
      <c r="Q9" s="225"/>
      <c r="R9" s="513"/>
      <c r="S9" s="348"/>
      <c r="T9" s="514"/>
      <c r="U9" s="513"/>
      <c r="V9" s="515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2607.6999999999966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515">
        <v>105.5</v>
      </c>
      <c r="M10" s="515">
        <v>504.99999999999909</v>
      </c>
      <c r="N10" s="9"/>
      <c r="O10" s="9"/>
      <c r="P10" s="9"/>
      <c r="Q10" s="225"/>
      <c r="R10" s="513"/>
      <c r="S10" s="348"/>
      <c r="T10" s="514"/>
      <c r="U10" s="513"/>
      <c r="V10" s="515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3375</v>
      </c>
      <c r="B11" s="3"/>
      <c r="C11" s="3"/>
      <c r="D11" s="33">
        <f t="shared" si="0"/>
        <v>2561.300000000002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515">
        <v>86.5</v>
      </c>
      <c r="M11" s="515">
        <v>466.50000000000091</v>
      </c>
      <c r="N11" s="9"/>
      <c r="O11" s="9"/>
      <c r="P11" s="9"/>
      <c r="Q11" s="513"/>
      <c r="R11" s="513"/>
      <c r="S11" s="361"/>
      <c r="T11" s="514"/>
      <c r="U11" s="513"/>
      <c r="V11" s="515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2744.099999999999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515">
        <v>381.8</v>
      </c>
      <c r="M12" s="515">
        <v>416</v>
      </c>
      <c r="N12" s="9"/>
      <c r="O12" s="9"/>
      <c r="P12" s="9"/>
      <c r="Q12" s="516"/>
      <c r="R12" s="513"/>
      <c r="S12" s="348"/>
      <c r="T12" s="514"/>
      <c r="U12" s="513"/>
      <c r="V12" s="51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2027</v>
      </c>
      <c r="B13" s="3"/>
      <c r="C13" s="3"/>
      <c r="D13" s="33">
        <f t="shared" si="0"/>
        <v>3333.6000000000022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515">
        <v>145.5</v>
      </c>
      <c r="M13" s="515">
        <v>685.30000000000109</v>
      </c>
      <c r="N13" s="9"/>
      <c r="O13" s="9"/>
      <c r="P13" s="9"/>
      <c r="Q13" s="516"/>
      <c r="R13" s="513"/>
      <c r="S13" s="348"/>
      <c r="T13" s="514"/>
      <c r="U13" s="513"/>
      <c r="V13" s="515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3394</v>
      </c>
      <c r="B14" s="3"/>
      <c r="C14" s="3"/>
      <c r="D14" s="33">
        <f t="shared" si="0"/>
        <v>3127.8999999999978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515">
        <v>322.2</v>
      </c>
      <c r="M14" s="515">
        <v>358.10000000000036</v>
      </c>
      <c r="N14" s="9"/>
      <c r="O14" s="9"/>
      <c r="P14" s="9"/>
      <c r="Q14" s="513"/>
      <c r="R14" s="513"/>
      <c r="S14" s="361"/>
      <c r="T14" s="514"/>
      <c r="U14" s="513"/>
      <c r="V14" s="51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3946.1000000000035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515">
        <v>430.7</v>
      </c>
      <c r="M15" s="515">
        <v>761.30000000000291</v>
      </c>
      <c r="N15" s="9"/>
      <c r="O15" s="9"/>
      <c r="P15" s="9"/>
      <c r="Q15" s="225"/>
      <c r="R15" s="513"/>
      <c r="S15" s="348"/>
      <c r="T15" s="514"/>
      <c r="U15" s="513"/>
      <c r="V15" s="51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3610.4999999999995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515">
        <v>388.4</v>
      </c>
      <c r="M16" s="515">
        <v>453.40000000000055</v>
      </c>
      <c r="N16" s="9"/>
      <c r="O16" s="9"/>
      <c r="P16" s="9"/>
      <c r="Q16" s="513"/>
      <c r="R16" s="513"/>
      <c r="S16" s="348"/>
      <c r="T16" s="514"/>
      <c r="U16" s="513"/>
      <c r="V16" s="51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2057</v>
      </c>
      <c r="B17" s="3"/>
      <c r="C17" s="3"/>
      <c r="D17" s="33">
        <f t="shared" si="0"/>
        <v>2016.9999999999984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515">
        <v>81.5</v>
      </c>
      <c r="M17" s="515">
        <v>406.49999999999909</v>
      </c>
      <c r="N17" s="9"/>
      <c r="O17" s="9"/>
      <c r="P17" s="9"/>
      <c r="Q17" s="516"/>
      <c r="R17" s="513"/>
      <c r="S17" s="348"/>
      <c r="T17" s="514"/>
      <c r="U17" s="513"/>
      <c r="V17" s="515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1152.6999999999987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515">
        <v>134.80000000000001</v>
      </c>
      <c r="M18" s="515">
        <v>175.29999999999973</v>
      </c>
      <c r="N18" s="9"/>
      <c r="O18" s="9"/>
      <c r="P18" s="9"/>
      <c r="Q18" s="513"/>
      <c r="R18" s="513"/>
      <c r="S18" s="348"/>
      <c r="T18" s="514"/>
      <c r="U18" s="513"/>
      <c r="V18" s="515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2010</v>
      </c>
      <c r="B19" s="3"/>
      <c r="C19" s="3"/>
      <c r="D19" s="33">
        <f t="shared" si="0"/>
        <v>3442.700000000003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515">
        <v>191.5</v>
      </c>
      <c r="M19" s="515">
        <v>514.40000000000146</v>
      </c>
      <c r="N19" s="9"/>
      <c r="O19" s="9"/>
      <c r="P19" s="9"/>
      <c r="Q19" s="516"/>
      <c r="R19" s="513"/>
      <c r="S19" s="348"/>
      <c r="T19" s="514"/>
      <c r="U19" s="513"/>
      <c r="V19" s="515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3376</v>
      </c>
      <c r="B20" s="3"/>
      <c r="C20" s="3"/>
      <c r="D20" s="33">
        <f t="shared" si="0"/>
        <v>2449.4999999999991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515">
        <v>105.39999999999999</v>
      </c>
      <c r="M20" s="515">
        <v>433.99999999999909</v>
      </c>
      <c r="N20" s="9"/>
      <c r="O20" s="9"/>
      <c r="P20" s="9"/>
      <c r="Q20" s="513"/>
      <c r="R20" s="513"/>
      <c r="S20" s="361"/>
      <c r="T20" s="514"/>
      <c r="U20" s="513"/>
      <c r="V20" s="51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3718.599999999999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515">
        <v>307</v>
      </c>
      <c r="M21" s="515">
        <v>615.49999999999909</v>
      </c>
      <c r="N21" s="9"/>
      <c r="O21" s="9"/>
      <c r="P21" s="9"/>
      <c r="Q21" s="513"/>
      <c r="R21" s="513"/>
      <c r="S21" s="348"/>
      <c r="T21" s="514"/>
      <c r="U21" s="513"/>
      <c r="V21" s="51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2028</v>
      </c>
      <c r="B22" s="3"/>
      <c r="C22" s="3"/>
      <c r="D22" s="33">
        <f t="shared" si="0"/>
        <v>2964.4999999999968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515">
        <v>206</v>
      </c>
      <c r="M22" s="515">
        <v>613.79999999999836</v>
      </c>
      <c r="N22" s="9"/>
      <c r="O22" s="9"/>
      <c r="P22" s="9"/>
      <c r="Q22" s="516"/>
      <c r="R22" s="513"/>
      <c r="S22" s="348"/>
      <c r="T22" s="514"/>
      <c r="U22" s="513"/>
      <c r="V22" s="51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3379</v>
      </c>
      <c r="B23" s="3"/>
      <c r="C23" s="3"/>
      <c r="D23" s="33">
        <f t="shared" si="0"/>
        <v>2827.5999999999995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515">
        <v>81.8</v>
      </c>
      <c r="M23" s="515">
        <v>426.99999999999909</v>
      </c>
      <c r="N23" s="9"/>
      <c r="O23" s="9"/>
      <c r="P23" s="9"/>
      <c r="Q23" s="513"/>
      <c r="R23" s="513"/>
      <c r="S23" s="361"/>
      <c r="T23" s="514"/>
      <c r="U23" s="513"/>
      <c r="V23" s="515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3393</v>
      </c>
      <c r="B24" s="3"/>
      <c r="C24" s="3"/>
      <c r="D24" s="33">
        <f t="shared" si="0"/>
        <v>3790.0000000000032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515">
        <v>336.1</v>
      </c>
      <c r="M24" s="515">
        <v>484.600000000004</v>
      </c>
      <c r="N24" s="9"/>
      <c r="O24" s="9"/>
      <c r="P24" s="9"/>
      <c r="Q24" s="513"/>
      <c r="R24" s="513"/>
      <c r="S24" s="361"/>
      <c r="T24" s="514"/>
      <c r="U24" s="513"/>
      <c r="V24" s="515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3057.7999999999988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515">
        <v>102.60000000000001</v>
      </c>
      <c r="M25" s="515">
        <v>407.5</v>
      </c>
      <c r="N25" s="9"/>
      <c r="O25" s="9"/>
      <c r="P25" s="9"/>
      <c r="Q25" s="516"/>
      <c r="R25" s="513"/>
      <c r="S25" s="349"/>
      <c r="T25" s="514"/>
      <c r="U25" s="513"/>
      <c r="V25" s="515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2022</v>
      </c>
      <c r="B26" s="3"/>
      <c r="C26" s="3"/>
      <c r="D26" s="33">
        <f t="shared" si="0"/>
        <v>3350.0000000000009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515">
        <v>313.59999999999997</v>
      </c>
      <c r="M26" s="515">
        <v>720.20000000000073</v>
      </c>
      <c r="N26" s="9"/>
      <c r="O26" s="9"/>
      <c r="P26" s="9"/>
      <c r="Q26" s="516"/>
      <c r="R26" s="513"/>
      <c r="S26" s="348"/>
      <c r="T26" s="514"/>
      <c r="U26" s="513"/>
      <c r="V26" s="515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3013.7000000000003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515">
        <v>129.30000000000001</v>
      </c>
      <c r="M27" s="515">
        <v>524.10000000000036</v>
      </c>
      <c r="N27" s="9"/>
      <c r="O27" s="9"/>
      <c r="P27" s="9"/>
      <c r="Q27" s="516"/>
      <c r="R27" s="513"/>
      <c r="S27" s="348"/>
      <c r="T27" s="514"/>
      <c r="U27" s="513"/>
      <c r="V27" s="51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3377</v>
      </c>
      <c r="B28" s="3"/>
      <c r="C28" s="3"/>
      <c r="D28" s="33">
        <f t="shared" si="0"/>
        <v>3045.8000000000006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515">
        <v>183.3</v>
      </c>
      <c r="M28" s="515">
        <v>600.10000000000127</v>
      </c>
      <c r="N28" s="9"/>
      <c r="O28" s="9"/>
      <c r="P28" s="9"/>
      <c r="Q28" s="513"/>
      <c r="R28" s="513"/>
      <c r="S28" s="361"/>
      <c r="T28" s="514"/>
      <c r="U28" s="513"/>
      <c r="V28" s="515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2029</v>
      </c>
      <c r="B29" s="3"/>
      <c r="C29" s="3"/>
      <c r="D29" s="33">
        <f t="shared" si="0"/>
        <v>3776.8000000000015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515">
        <v>279.90000000000003</v>
      </c>
      <c r="M29" s="515">
        <v>599.40000000000055</v>
      </c>
      <c r="N29" s="9"/>
      <c r="O29" s="9"/>
      <c r="P29" s="9"/>
      <c r="Q29" s="516"/>
      <c r="R29" s="513"/>
      <c r="S29" s="348"/>
      <c r="T29" s="514"/>
      <c r="U29" s="513"/>
      <c r="V29" s="515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2901.2999999999984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515">
        <v>221.6</v>
      </c>
      <c r="M30" s="515">
        <v>503.49999999999909</v>
      </c>
      <c r="N30" s="9"/>
      <c r="O30" s="9"/>
      <c r="P30" s="9"/>
      <c r="Q30" s="225"/>
      <c r="R30" s="513"/>
      <c r="S30" s="348"/>
      <c r="T30" s="514"/>
      <c r="U30" s="513"/>
      <c r="V30" s="515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2711.6999999999985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515">
        <v>260.8</v>
      </c>
      <c r="M31" s="515">
        <v>573.69999999999891</v>
      </c>
      <c r="N31" s="9"/>
      <c r="O31" s="9"/>
      <c r="P31" s="9"/>
      <c r="Q31" s="513"/>
      <c r="R31" s="513"/>
      <c r="S31" s="348"/>
      <c r="T31" s="514"/>
      <c r="U31" s="513"/>
      <c r="V31" s="515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2015</v>
      </c>
      <c r="B32" s="3"/>
      <c r="C32" s="3"/>
      <c r="D32" s="33">
        <f t="shared" si="0"/>
        <v>2776.650000000001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515">
        <v>144.9</v>
      </c>
      <c r="M32" s="515">
        <v>398.60000000000127</v>
      </c>
      <c r="N32" s="9"/>
      <c r="O32" s="9"/>
      <c r="P32" s="9"/>
      <c r="Q32" s="516"/>
      <c r="R32" s="513"/>
      <c r="S32" s="348"/>
      <c r="T32" s="514"/>
      <c r="U32" s="513"/>
      <c r="V32" s="515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3387</v>
      </c>
      <c r="B33" s="3"/>
      <c r="C33" s="3"/>
      <c r="D33" s="33">
        <f t="shared" si="0"/>
        <v>2825.8999999999996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515">
        <v>82.5</v>
      </c>
      <c r="M33" s="515">
        <v>531.05000000000018</v>
      </c>
      <c r="N33" s="9"/>
      <c r="O33" s="9"/>
      <c r="P33" s="9"/>
      <c r="Q33" s="513"/>
      <c r="R33" s="513"/>
      <c r="S33" s="361"/>
      <c r="T33" s="514"/>
      <c r="U33" s="513"/>
      <c r="V33" s="515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2721.7000000000007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515">
        <v>206.8</v>
      </c>
      <c r="M34" s="515">
        <v>467.70000000000164</v>
      </c>
      <c r="N34" s="9"/>
      <c r="O34" s="9"/>
      <c r="P34" s="9"/>
      <c r="Q34" s="516"/>
      <c r="R34" s="513"/>
      <c r="S34" s="349"/>
      <c r="T34" s="514"/>
      <c r="U34" s="513"/>
      <c r="V34" s="515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3033.2000000000012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515">
        <v>120.3</v>
      </c>
      <c r="M35" s="515">
        <v>565.10000000000127</v>
      </c>
      <c r="N35" s="9"/>
      <c r="O35" s="9"/>
      <c r="P35" s="9"/>
      <c r="Q35" s="516"/>
      <c r="R35" s="513"/>
      <c r="S35" s="349"/>
      <c r="T35" s="514"/>
      <c r="U35" s="513"/>
      <c r="V35" s="515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3094.1000000000031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515">
        <v>316.79999999999995</v>
      </c>
      <c r="M36" s="515">
        <v>630.00000000000182</v>
      </c>
      <c r="N36" s="9"/>
      <c r="O36" s="9"/>
      <c r="P36" s="9"/>
      <c r="Q36" s="513"/>
      <c r="R36" s="513"/>
      <c r="S36" s="348"/>
      <c r="T36" s="514"/>
      <c r="U36" s="513"/>
      <c r="V36" s="515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2997.199999999998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515">
        <v>210</v>
      </c>
      <c r="M37" s="515">
        <v>403.59999999999854</v>
      </c>
      <c r="N37" s="9"/>
      <c r="O37" s="9"/>
      <c r="P37" s="9"/>
      <c r="Q37" s="516"/>
      <c r="R37" s="513"/>
      <c r="S37" s="348"/>
      <c r="T37" s="514"/>
      <c r="U37" s="513"/>
      <c r="V37" s="515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3402</v>
      </c>
      <c r="B38" s="3"/>
      <c r="C38" s="3"/>
      <c r="D38" s="33">
        <f t="shared" si="1"/>
        <v>3080.9999999999995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515">
        <v>140.6</v>
      </c>
      <c r="M38" s="515">
        <v>581.49999999999909</v>
      </c>
      <c r="N38" s="9"/>
      <c r="O38" s="9"/>
      <c r="P38" s="9"/>
      <c r="Q38" s="513"/>
      <c r="R38" s="513"/>
      <c r="S38" s="361"/>
      <c r="T38" s="514"/>
      <c r="U38" s="513"/>
      <c r="V38" s="515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2011</v>
      </c>
      <c r="B39" s="3"/>
      <c r="C39" s="3"/>
      <c r="D39" s="33">
        <f t="shared" si="1"/>
        <v>1444.5000000000007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515">
        <v>112.5</v>
      </c>
      <c r="M39" s="515">
        <v>211.09999999999945</v>
      </c>
      <c r="N39" s="9"/>
      <c r="O39" s="9"/>
      <c r="P39" s="9"/>
      <c r="Q39" s="516"/>
      <c r="R39" s="513"/>
      <c r="S39" s="349"/>
      <c r="T39" s="514"/>
      <c r="U39" s="513"/>
      <c r="V39" s="515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3002.9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515">
        <v>124.1</v>
      </c>
      <c r="M40" s="515">
        <v>488.5</v>
      </c>
      <c r="N40" s="9"/>
      <c r="O40" s="9"/>
      <c r="P40" s="9"/>
      <c r="Q40" s="516"/>
      <c r="R40" s="513"/>
      <c r="S40" s="348"/>
      <c r="T40" s="514"/>
      <c r="U40" s="513"/>
      <c r="V40" s="515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4148.1000000000022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515">
        <v>516.29999999999995</v>
      </c>
      <c r="M41" s="515">
        <v>665.90000000000146</v>
      </c>
      <c r="N41" s="9"/>
      <c r="O41" s="9"/>
      <c r="P41" s="9"/>
      <c r="Q41" s="513"/>
      <c r="R41" s="513"/>
      <c r="S41" s="348"/>
      <c r="T41" s="514"/>
      <c r="U41" s="513"/>
      <c r="V41" s="515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3358.9999999999945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515">
        <v>240.3</v>
      </c>
      <c r="M42" s="515">
        <v>580.29999999999563</v>
      </c>
      <c r="N42" s="9"/>
      <c r="O42" s="9"/>
      <c r="P42" s="9"/>
      <c r="Q42" s="513"/>
      <c r="R42" s="513"/>
      <c r="S42" s="348"/>
      <c r="T42" s="514"/>
      <c r="U42" s="513"/>
      <c r="V42" s="515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3381</v>
      </c>
      <c r="B43" s="3"/>
      <c r="C43" s="3"/>
      <c r="D43" s="33">
        <f t="shared" si="1"/>
        <v>3402.1000000000004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515">
        <v>255.8</v>
      </c>
      <c r="M43" s="515">
        <v>577.300000000002</v>
      </c>
      <c r="N43" s="9"/>
      <c r="O43" s="9"/>
      <c r="P43" s="9"/>
      <c r="Q43" s="513"/>
      <c r="R43" s="513"/>
      <c r="S43" s="361"/>
      <c r="T43" s="514"/>
      <c r="U43" s="513"/>
      <c r="V43" s="515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3406</v>
      </c>
      <c r="B44" s="3"/>
      <c r="C44" s="3"/>
      <c r="D44" s="33">
        <f t="shared" si="1"/>
        <v>2914.4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515">
        <v>188.8</v>
      </c>
      <c r="M44" s="515">
        <v>611.34999999999945</v>
      </c>
      <c r="N44" s="9"/>
      <c r="O44" s="9"/>
      <c r="P44" s="9"/>
      <c r="Q44" s="513"/>
      <c r="R44" s="513"/>
      <c r="S44" s="361"/>
      <c r="T44" s="514"/>
      <c r="U44" s="513"/>
      <c r="V44" s="515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3384</v>
      </c>
      <c r="B45" s="3"/>
      <c r="C45" s="3"/>
      <c r="D45" s="33">
        <f t="shared" si="1"/>
        <v>2827.7000000000021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515">
        <v>176.9</v>
      </c>
      <c r="M45" s="515">
        <v>496.60000000000309</v>
      </c>
      <c r="N45" s="9"/>
      <c r="O45" s="9"/>
      <c r="P45" s="9"/>
      <c r="Q45" s="513"/>
      <c r="R45" s="513"/>
      <c r="S45" s="361"/>
      <c r="T45" s="514"/>
      <c r="U45" s="513"/>
      <c r="V45" s="515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2508.6999999999985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515">
        <v>85.9</v>
      </c>
      <c r="M46" s="515">
        <v>420.49999999999909</v>
      </c>
      <c r="N46" s="9"/>
      <c r="O46" s="9"/>
      <c r="P46" s="9"/>
      <c r="Q46" s="225"/>
      <c r="R46" s="513"/>
      <c r="S46" s="348"/>
      <c r="T46" s="514"/>
      <c r="U46" s="513"/>
      <c r="V46" s="515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3380</v>
      </c>
      <c r="B47" s="3"/>
      <c r="C47" s="3"/>
      <c r="D47" s="33">
        <f t="shared" si="1"/>
        <v>3754.6000000000013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515">
        <v>291.5</v>
      </c>
      <c r="M47" s="515">
        <v>613.85000000000127</v>
      </c>
      <c r="N47" s="9"/>
      <c r="O47" s="9"/>
      <c r="P47" s="9"/>
      <c r="Q47" s="513"/>
      <c r="R47" s="513"/>
      <c r="S47" s="361"/>
      <c r="T47" s="514"/>
      <c r="U47" s="513"/>
      <c r="V47" s="515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3501.1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515">
        <v>266</v>
      </c>
      <c r="M48" s="515">
        <v>556.70000000000073</v>
      </c>
      <c r="N48" s="9"/>
      <c r="O48" s="9"/>
      <c r="P48" s="9"/>
      <c r="Q48" s="516"/>
      <c r="R48" s="513"/>
      <c r="S48" s="348"/>
      <c r="T48" s="514"/>
      <c r="U48" s="513"/>
      <c r="V48" s="515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4520</v>
      </c>
      <c r="B49" s="3"/>
      <c r="C49" s="3"/>
      <c r="D49" s="33">
        <f t="shared" si="1"/>
        <v>2917.799999999997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515">
        <v>238.7</v>
      </c>
      <c r="M49" s="515">
        <v>504.29999999999745</v>
      </c>
      <c r="N49" s="9"/>
      <c r="O49" s="9"/>
      <c r="P49" s="9"/>
      <c r="Q49" s="516"/>
      <c r="R49" s="513"/>
      <c r="S49" s="348"/>
      <c r="T49" s="514"/>
      <c r="U49" s="513"/>
      <c r="V49" s="515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4075.7999999999997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515">
        <v>305.7</v>
      </c>
      <c r="M50" s="515">
        <v>568.5</v>
      </c>
      <c r="N50" s="9"/>
      <c r="O50" s="9"/>
      <c r="P50" s="9"/>
      <c r="Q50" s="513"/>
      <c r="R50" s="513"/>
      <c r="S50" s="348"/>
      <c r="T50" s="514"/>
      <c r="U50" s="513"/>
      <c r="V50" s="515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2711.1999999999971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515">
        <v>116</v>
      </c>
      <c r="M51" s="515">
        <v>452.49999999999818</v>
      </c>
      <c r="N51" s="9"/>
      <c r="O51" s="9"/>
      <c r="P51" s="9"/>
      <c r="Q51" s="513"/>
      <c r="R51" s="513"/>
      <c r="S51" s="348"/>
      <c r="T51" s="514"/>
      <c r="U51" s="513"/>
      <c r="V51" s="515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1959.0999999999981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515">
        <v>71.7</v>
      </c>
      <c r="M52" s="515">
        <v>395.5</v>
      </c>
      <c r="N52" s="9"/>
      <c r="O52" s="9"/>
      <c r="P52" s="9"/>
      <c r="Q52" s="513"/>
      <c r="R52" s="513"/>
      <c r="S52" s="348"/>
      <c r="T52" s="514"/>
      <c r="U52" s="513"/>
      <c r="V52" s="515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3373</v>
      </c>
      <c r="B53" s="3"/>
      <c r="C53" s="3"/>
      <c r="D53" s="33">
        <f t="shared" si="1"/>
        <v>3257.9000000000028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515">
        <v>193.8</v>
      </c>
      <c r="M53" s="515">
        <v>514.60000000000218</v>
      </c>
      <c r="N53" s="9"/>
      <c r="O53" s="9"/>
      <c r="P53" s="9"/>
      <c r="Q53" s="516"/>
      <c r="R53" s="513"/>
      <c r="S53" s="349"/>
      <c r="T53" s="514"/>
      <c r="U53" s="513"/>
      <c r="V53" s="515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2030</v>
      </c>
      <c r="B54" s="3"/>
      <c r="C54" s="3"/>
      <c r="D54" s="33">
        <f t="shared" si="1"/>
        <v>2123.0000000000009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515">
        <v>30.1</v>
      </c>
      <c r="M54" s="515">
        <v>400.60000000000127</v>
      </c>
      <c r="N54" s="9"/>
      <c r="O54" s="9"/>
      <c r="P54" s="9"/>
      <c r="Q54" s="516"/>
      <c r="R54" s="513"/>
      <c r="S54" s="348"/>
      <c r="T54" s="514"/>
      <c r="U54" s="513"/>
      <c r="V54" s="515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3383</v>
      </c>
      <c r="B55" s="3"/>
      <c r="C55" s="3"/>
      <c r="D55" s="33">
        <f t="shared" si="1"/>
        <v>4071.3999999999978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515">
        <v>384.9</v>
      </c>
      <c r="M55" s="515">
        <v>575.99999999999909</v>
      </c>
      <c r="N55" s="9"/>
      <c r="O55" s="9"/>
      <c r="P55" s="9"/>
      <c r="Q55" s="513"/>
      <c r="R55" s="513"/>
      <c r="S55" s="361"/>
      <c r="T55" s="514"/>
      <c r="U55" s="513"/>
      <c r="V55" s="515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2031</v>
      </c>
      <c r="B56" s="3"/>
      <c r="C56" s="3"/>
      <c r="D56" s="33">
        <f t="shared" si="1"/>
        <v>2840.8999999999983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515">
        <v>280.7</v>
      </c>
      <c r="M56" s="515">
        <v>470</v>
      </c>
      <c r="N56" s="9"/>
      <c r="O56" s="9"/>
      <c r="P56" s="9"/>
      <c r="Q56" s="516"/>
      <c r="R56" s="513"/>
      <c r="S56" s="348"/>
      <c r="T56" s="514"/>
      <c r="U56" s="513"/>
      <c r="V56" s="515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2280.7999999999993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515">
        <v>104.10000000000001</v>
      </c>
      <c r="M57" s="515">
        <v>418.199999999998</v>
      </c>
      <c r="N57" s="9"/>
      <c r="O57" s="9"/>
      <c r="P57" s="9"/>
      <c r="Q57" s="225"/>
      <c r="R57" s="513"/>
      <c r="S57" s="348"/>
      <c r="T57" s="514"/>
      <c r="U57" s="513"/>
      <c r="V57" s="515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3349.3000000000011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515">
        <v>236.1</v>
      </c>
      <c r="M58" s="515">
        <v>387.70000000000073</v>
      </c>
      <c r="N58" s="9"/>
      <c r="O58" s="9"/>
      <c r="P58" s="9"/>
      <c r="Q58" s="513"/>
      <c r="R58" s="513"/>
      <c r="S58" s="348"/>
      <c r="T58" s="514"/>
      <c r="U58" s="513"/>
      <c r="V58" s="515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3382</v>
      </c>
      <c r="B59" s="3"/>
      <c r="C59" s="3"/>
      <c r="D59" s="33">
        <f t="shared" si="1"/>
        <v>3927.0999999999995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515">
        <v>389.8</v>
      </c>
      <c r="M59" s="515">
        <v>717.79999999999927</v>
      </c>
      <c r="N59" s="9"/>
      <c r="O59" s="9"/>
      <c r="P59" s="9"/>
      <c r="Q59" s="513"/>
      <c r="R59" s="513"/>
      <c r="S59" s="361"/>
      <c r="T59" s="514"/>
      <c r="U59" s="513"/>
      <c r="V59" s="515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3389</v>
      </c>
      <c r="B60" s="3"/>
      <c r="C60" s="3"/>
      <c r="D60" s="33">
        <f t="shared" si="1"/>
        <v>4365.0500000000011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515">
        <v>396.9</v>
      </c>
      <c r="M60" s="515">
        <v>745.90000000000055</v>
      </c>
      <c r="N60" s="9"/>
      <c r="O60" s="9"/>
      <c r="P60" s="9"/>
      <c r="Q60" s="513"/>
      <c r="R60" s="513"/>
      <c r="S60" s="361"/>
      <c r="T60" s="514"/>
      <c r="U60" s="513"/>
      <c r="V60" s="515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2110.4000000000028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515">
        <v>153.5</v>
      </c>
      <c r="M61" s="515">
        <v>270.00000000000182</v>
      </c>
      <c r="N61" s="9"/>
      <c r="O61" s="9"/>
      <c r="P61" s="9"/>
      <c r="Q61" s="513"/>
      <c r="R61" s="513"/>
      <c r="S61" s="348"/>
      <c r="T61" s="514"/>
      <c r="U61" s="513"/>
      <c r="V61" s="515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3303.7000000000012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515">
        <v>154.80000000000001</v>
      </c>
      <c r="M62" s="515">
        <v>522.90000000000146</v>
      </c>
      <c r="N62" s="9"/>
      <c r="O62" s="9"/>
      <c r="P62" s="9"/>
      <c r="Q62" s="516"/>
      <c r="R62" s="513"/>
      <c r="S62" s="348"/>
      <c r="T62" s="514"/>
      <c r="U62" s="513"/>
      <c r="V62" s="515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3106.6000000000004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515">
        <v>177.3</v>
      </c>
      <c r="M63" s="515">
        <v>518.30000000000018</v>
      </c>
      <c r="N63" s="9"/>
      <c r="O63" s="9"/>
      <c r="P63" s="9"/>
      <c r="Q63" s="513"/>
      <c r="R63" s="513"/>
      <c r="S63" s="348"/>
      <c r="T63" s="514"/>
      <c r="U63" s="513"/>
      <c r="V63" s="515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3121.6000000000022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515">
        <v>249.89999999999998</v>
      </c>
      <c r="M64" s="515">
        <v>502.70000000000073</v>
      </c>
      <c r="N64" s="9"/>
      <c r="O64" s="9"/>
      <c r="P64" s="9"/>
      <c r="Q64" s="225"/>
      <c r="R64" s="513"/>
      <c r="S64" s="348"/>
      <c r="T64" s="514"/>
      <c r="U64" s="513"/>
      <c r="V64" s="515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4064.4999999999995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515">
        <v>437</v>
      </c>
      <c r="M65" s="515">
        <v>593.69999999999982</v>
      </c>
      <c r="N65" s="9"/>
      <c r="O65" s="9"/>
      <c r="P65" s="9"/>
      <c r="Q65" s="225"/>
      <c r="R65" s="513"/>
      <c r="S65" s="349"/>
      <c r="T65" s="514"/>
      <c r="U65" s="513"/>
      <c r="V65" s="515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3378</v>
      </c>
      <c r="B66" s="3"/>
      <c r="C66" s="3"/>
      <c r="D66" s="33">
        <f t="shared" si="1"/>
        <v>3395.9000000000033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515">
        <v>201.3</v>
      </c>
      <c r="M66" s="515">
        <v>588.85000000000218</v>
      </c>
      <c r="N66" s="9"/>
      <c r="O66" s="9"/>
      <c r="P66" s="9"/>
      <c r="Q66" s="513"/>
      <c r="R66" s="513"/>
      <c r="S66" s="361"/>
      <c r="T66" s="514"/>
      <c r="U66" s="513"/>
      <c r="V66" s="515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3205.9000000000033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515">
        <v>323.3</v>
      </c>
      <c r="M67" s="515">
        <v>556.20000000000073</v>
      </c>
      <c r="N67" s="9"/>
      <c r="O67" s="9"/>
      <c r="P67" s="9"/>
      <c r="Q67" s="513"/>
      <c r="R67" s="513"/>
      <c r="S67" s="348"/>
      <c r="T67" s="514"/>
      <c r="U67" s="513"/>
      <c r="V67" s="515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3081.5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515">
        <v>314</v>
      </c>
      <c r="M68" s="515">
        <v>500.49999999999909</v>
      </c>
      <c r="N68" s="9"/>
      <c r="O68" s="9"/>
      <c r="P68" s="9"/>
      <c r="Q68" s="516"/>
      <c r="R68" s="513"/>
      <c r="S68" s="349"/>
      <c r="T68" s="514"/>
      <c r="U68" s="513"/>
      <c r="V68" s="515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2577.7000000000003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515">
        <v>157.69999999999999</v>
      </c>
      <c r="M69" s="515">
        <v>489.19999999999891</v>
      </c>
      <c r="N69" s="9"/>
      <c r="O69" s="9"/>
      <c r="P69" s="9"/>
      <c r="Q69" s="513"/>
      <c r="R69" s="513"/>
      <c r="S69" s="349"/>
      <c r="T69" s="514"/>
      <c r="U69" s="513"/>
      <c r="V69" s="515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2508.6000000000026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515">
        <v>70.2</v>
      </c>
      <c r="M70" s="515">
        <v>383.00000000000182</v>
      </c>
      <c r="N70" s="9"/>
      <c r="O70" s="9"/>
      <c r="P70" s="9"/>
      <c r="Q70" s="516"/>
      <c r="R70" s="513"/>
      <c r="S70" s="348"/>
      <c r="T70" s="514"/>
      <c r="U70" s="513"/>
      <c r="V70" s="515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3390</v>
      </c>
      <c r="B71" s="3"/>
      <c r="C71" s="3"/>
      <c r="D71" s="33">
        <f t="shared" si="2"/>
        <v>3894.0000000000009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515">
        <v>375.5</v>
      </c>
      <c r="M71" s="515">
        <v>645.19999999999982</v>
      </c>
      <c r="N71" s="9"/>
      <c r="O71" s="9"/>
      <c r="P71" s="9"/>
      <c r="Q71" s="513"/>
      <c r="R71" s="513"/>
      <c r="S71" s="361"/>
      <c r="T71" s="514"/>
      <c r="U71" s="513"/>
      <c r="V71" s="515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1978.8999999999987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515">
        <v>42</v>
      </c>
      <c r="M72" s="515">
        <v>309.09999999999945</v>
      </c>
      <c r="N72" s="9"/>
      <c r="O72" s="9"/>
      <c r="P72" s="9"/>
      <c r="Q72" s="513"/>
      <c r="R72" s="513"/>
      <c r="S72" s="349"/>
      <c r="T72" s="514"/>
      <c r="U72" s="513"/>
      <c r="V72" s="515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2928.5000000000005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515">
        <v>144.5</v>
      </c>
      <c r="M73" s="515">
        <v>517.59999999999945</v>
      </c>
      <c r="N73" s="9"/>
      <c r="O73" s="9"/>
      <c r="P73" s="9"/>
      <c r="Q73" s="513"/>
      <c r="R73" s="513"/>
      <c r="S73" s="348"/>
      <c r="T73" s="514"/>
      <c r="U73" s="513"/>
      <c r="V73" s="515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3387.0999999999981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515">
        <v>170.5</v>
      </c>
      <c r="M74" s="515">
        <v>574</v>
      </c>
      <c r="N74" s="9"/>
      <c r="O74" s="9"/>
      <c r="P74" s="9"/>
      <c r="Q74" s="513"/>
      <c r="R74" s="513"/>
      <c r="S74" s="348"/>
      <c r="T74" s="514"/>
      <c r="U74" s="513"/>
      <c r="V74" s="515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2699.7999999999984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515">
        <v>204.29999999999998</v>
      </c>
      <c r="M75" s="515">
        <v>505.69999999999891</v>
      </c>
      <c r="N75" s="9"/>
      <c r="O75" s="9"/>
      <c r="P75" s="9"/>
      <c r="Q75" s="225"/>
      <c r="R75" s="513"/>
      <c r="S75" s="348"/>
      <c r="T75" s="514"/>
      <c r="U75" s="513"/>
      <c r="V75" s="515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3405</v>
      </c>
      <c r="B76" s="3"/>
      <c r="C76" s="3"/>
      <c r="D76" s="33">
        <f t="shared" si="2"/>
        <v>3636.1000000000022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515">
        <v>440.8</v>
      </c>
      <c r="M76" s="515">
        <v>556.30000000000291</v>
      </c>
      <c r="N76" s="9"/>
      <c r="O76" s="9"/>
      <c r="P76" s="9"/>
      <c r="Q76" s="513"/>
      <c r="R76" s="513"/>
      <c r="S76" s="361"/>
      <c r="T76" s="514"/>
      <c r="U76" s="513"/>
      <c r="V76" s="515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1987.0000000000005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515">
        <v>102</v>
      </c>
      <c r="M77" s="515">
        <v>376</v>
      </c>
      <c r="N77" s="9"/>
      <c r="O77" s="9"/>
      <c r="P77" s="9"/>
      <c r="Q77" s="516"/>
      <c r="R77" s="513"/>
      <c r="S77" s="348"/>
      <c r="T77" s="514"/>
      <c r="U77" s="513"/>
      <c r="V77" s="515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2054</v>
      </c>
      <c r="B78" s="3"/>
      <c r="C78" s="3"/>
      <c r="D78" s="33">
        <f t="shared" si="2"/>
        <v>2708.4999999999982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515">
        <v>137.4</v>
      </c>
      <c r="M78" s="515">
        <v>535.30000000000018</v>
      </c>
      <c r="N78" s="9"/>
      <c r="O78" s="9"/>
      <c r="P78" s="9"/>
      <c r="Q78" s="516"/>
      <c r="R78" s="513"/>
      <c r="S78" s="348"/>
      <c r="T78" s="514"/>
      <c r="U78" s="513"/>
      <c r="V78" s="515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2249.8999999999996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515">
        <v>174.7</v>
      </c>
      <c r="M79" s="515">
        <v>265.5</v>
      </c>
      <c r="N79" s="9"/>
      <c r="O79" s="9"/>
      <c r="P79" s="9"/>
      <c r="Q79" s="513"/>
      <c r="R79" s="513"/>
      <c r="S79" s="348"/>
      <c r="T79" s="514"/>
      <c r="U79" s="513"/>
      <c r="V79" s="515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3185.6000000000008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515">
        <v>240.6</v>
      </c>
      <c r="M80" s="515">
        <v>540.19999999999982</v>
      </c>
      <c r="N80" s="9"/>
      <c r="O80" s="9"/>
      <c r="P80" s="9"/>
      <c r="Q80" s="513"/>
      <c r="R80" s="513"/>
      <c r="S80" s="348"/>
      <c r="T80" s="514"/>
      <c r="U80" s="513"/>
      <c r="V80" s="515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2056</v>
      </c>
      <c r="B81" s="3"/>
      <c r="C81" s="3"/>
      <c r="D81" s="33">
        <f t="shared" si="2"/>
        <v>1884.2000000000025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515">
        <v>119.5</v>
      </c>
      <c r="M81" s="515">
        <v>321.90000000000236</v>
      </c>
      <c r="N81" s="9"/>
      <c r="O81" s="9"/>
      <c r="P81" s="9"/>
      <c r="Q81" s="516"/>
      <c r="R81" s="513"/>
      <c r="S81" s="348"/>
      <c r="T81" s="514"/>
      <c r="U81" s="513"/>
      <c r="V81" s="515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2161</v>
      </c>
      <c r="B82" s="3"/>
      <c r="C82" s="3"/>
      <c r="D82" s="33">
        <f t="shared" si="2"/>
        <v>2780.1999999999962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515">
        <v>153.4</v>
      </c>
      <c r="M82" s="515">
        <v>471.49999999999818</v>
      </c>
      <c r="N82" s="9"/>
      <c r="O82" s="9"/>
      <c r="P82" s="9"/>
      <c r="Q82" s="516"/>
      <c r="R82" s="513"/>
      <c r="S82" s="348"/>
      <c r="T82" s="514"/>
      <c r="U82" s="513"/>
      <c r="V82" s="515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3385</v>
      </c>
      <c r="B83" s="3"/>
      <c r="C83" s="3"/>
      <c r="D83" s="33">
        <f t="shared" si="2"/>
        <v>2523.0999999999967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515">
        <v>65.099999999999994</v>
      </c>
      <c r="M83" s="515">
        <v>431.39999999999782</v>
      </c>
      <c r="N83" s="9"/>
      <c r="O83" s="9"/>
      <c r="P83" s="9"/>
      <c r="Q83" s="513"/>
      <c r="R83" s="513"/>
      <c r="S83" s="361"/>
      <c r="T83" s="514"/>
      <c r="U83" s="513"/>
      <c r="V83" s="515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2236.4000000000024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515">
        <v>229.8</v>
      </c>
      <c r="M84" s="515">
        <v>258.00000000000273</v>
      </c>
      <c r="N84" s="9"/>
      <c r="O84" s="9"/>
      <c r="P84" s="9"/>
      <c r="Q84" s="513"/>
      <c r="R84" s="513"/>
      <c r="S84" s="348"/>
      <c r="T84" s="514"/>
      <c r="U84" s="513"/>
      <c r="V84" s="515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3388</v>
      </c>
      <c r="B85" s="3"/>
      <c r="C85" s="3"/>
      <c r="D85" s="33">
        <f t="shared" si="2"/>
        <v>2616.2999999999975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515">
        <v>190.5</v>
      </c>
      <c r="M85" s="515">
        <v>457.89999999999873</v>
      </c>
      <c r="N85" s="9"/>
      <c r="O85" s="9"/>
      <c r="P85" s="9"/>
      <c r="Q85" s="513"/>
      <c r="R85" s="513"/>
      <c r="S85" s="361"/>
      <c r="T85" s="514"/>
      <c r="U85" s="513"/>
      <c r="V85" s="515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2006</v>
      </c>
      <c r="B86" s="3"/>
      <c r="C86" s="3"/>
      <c r="D86" s="33">
        <f t="shared" si="2"/>
        <v>3112.7000000000039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515">
        <v>148.19999999999999</v>
      </c>
      <c r="M86" s="515">
        <v>443.90000000000236</v>
      </c>
      <c r="N86" s="9"/>
      <c r="O86" s="9"/>
      <c r="P86" s="9"/>
      <c r="Q86" s="516"/>
      <c r="R86" s="513"/>
      <c r="S86" s="348"/>
      <c r="T86" s="514"/>
      <c r="U86" s="513"/>
      <c r="V86" s="515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3407</v>
      </c>
      <c r="B87" s="3"/>
      <c r="C87" s="3"/>
      <c r="D87" s="33">
        <f t="shared" si="2"/>
        <v>4276.3999999999996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515">
        <v>450.6</v>
      </c>
      <c r="M87" s="515">
        <v>734.55000000000018</v>
      </c>
      <c r="N87" s="9"/>
      <c r="O87" s="9"/>
      <c r="P87" s="9"/>
      <c r="Q87" s="513"/>
      <c r="R87" s="513"/>
      <c r="S87" s="361"/>
      <c r="T87" s="514"/>
      <c r="U87" s="513"/>
      <c r="V87" s="515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2719.0999999999958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515">
        <v>195.5</v>
      </c>
      <c r="M88" s="515">
        <v>349.99999999999909</v>
      </c>
      <c r="N88" s="9"/>
      <c r="O88" s="9"/>
      <c r="P88" s="9"/>
      <c r="Q88" s="516"/>
      <c r="R88" s="513"/>
      <c r="S88" s="349"/>
      <c r="T88" s="514"/>
      <c r="U88" s="513"/>
      <c r="V88" s="515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2958.2000000000016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515">
        <v>201.5</v>
      </c>
      <c r="M89" s="515">
        <v>345.80000000000109</v>
      </c>
      <c r="N89" s="9"/>
      <c r="O89" s="9"/>
      <c r="P89" s="9"/>
      <c r="Q89" s="513"/>
      <c r="R89" s="513"/>
      <c r="S89" s="348"/>
      <c r="T89" s="514"/>
      <c r="U89" s="513"/>
      <c r="V89" s="515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3391</v>
      </c>
      <c r="B90" s="3"/>
      <c r="C90" s="3"/>
      <c r="D90" s="33">
        <f t="shared" si="2"/>
        <v>4941.3000000000011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515">
        <v>538.4</v>
      </c>
      <c r="M90" s="515">
        <v>806.50000000000091</v>
      </c>
      <c r="N90" s="9"/>
      <c r="O90" s="9"/>
      <c r="P90" s="9"/>
      <c r="Q90" s="513"/>
      <c r="R90" s="513"/>
      <c r="S90" s="361"/>
      <c r="T90" s="514"/>
      <c r="U90" s="513"/>
      <c r="V90" s="515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2543.5000000000009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515">
        <v>138.1</v>
      </c>
      <c r="M91" s="515">
        <v>435</v>
      </c>
      <c r="N91" s="9"/>
      <c r="O91" s="9"/>
      <c r="P91" s="9"/>
      <c r="Q91" s="513"/>
      <c r="R91" s="513"/>
      <c r="S91" s="348"/>
      <c r="T91" s="514"/>
      <c r="U91" s="513"/>
      <c r="V91" s="515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2685.1000000000013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515">
        <v>128.4</v>
      </c>
      <c r="M92" s="515">
        <v>519.69999999999982</v>
      </c>
      <c r="N92" s="9"/>
      <c r="O92" s="9"/>
      <c r="P92" s="9"/>
      <c r="Q92" s="513"/>
      <c r="R92" s="513"/>
      <c r="S92" s="349"/>
      <c r="T92" s="514"/>
      <c r="U92" s="513"/>
      <c r="V92" s="515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2830.9000000000015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515">
        <v>111</v>
      </c>
      <c r="M93" s="515">
        <v>436.30000000000109</v>
      </c>
      <c r="N93" s="9"/>
      <c r="O93" s="9"/>
      <c r="P93" s="9"/>
      <c r="Q93" s="513"/>
      <c r="R93" s="513"/>
      <c r="S93" s="348"/>
      <c r="T93" s="514"/>
      <c r="U93" s="513"/>
      <c r="V93" s="515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2692.3000000000043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515">
        <v>141.6</v>
      </c>
      <c r="M94" s="515">
        <v>495.00000000000182</v>
      </c>
      <c r="N94" s="9"/>
      <c r="O94" s="9"/>
      <c r="P94" s="9"/>
      <c r="Q94" s="517"/>
      <c r="R94" s="513"/>
      <c r="S94" s="348"/>
      <c r="T94" s="514"/>
      <c r="U94" s="513"/>
      <c r="V94" s="515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2759.5999999999967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515">
        <v>138.80000000000001</v>
      </c>
      <c r="M95" s="515">
        <v>380.29999999999836</v>
      </c>
      <c r="N95" s="9"/>
      <c r="O95" s="9"/>
      <c r="P95" s="9"/>
      <c r="Q95" s="516"/>
      <c r="R95" s="513"/>
      <c r="S95" s="348"/>
      <c r="T95" s="514"/>
      <c r="U95" s="513"/>
      <c r="V95" s="515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3124.3000000000029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515">
        <v>150.5</v>
      </c>
      <c r="M96" s="515">
        <v>522.5</v>
      </c>
      <c r="N96" s="9"/>
      <c r="O96" s="9"/>
      <c r="P96" s="9"/>
      <c r="Q96" s="225"/>
      <c r="R96" s="513"/>
      <c r="S96" s="348"/>
      <c r="T96" s="514"/>
      <c r="U96" s="513"/>
      <c r="V96" s="515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2034</v>
      </c>
      <c r="B97" s="3"/>
      <c r="C97" s="3"/>
      <c r="D97" s="33">
        <f t="shared" si="2"/>
        <v>2832.9999999999995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515">
        <v>181</v>
      </c>
      <c r="M97" s="515">
        <v>482.5</v>
      </c>
      <c r="N97" s="9"/>
      <c r="O97" s="9"/>
      <c r="P97" s="9"/>
      <c r="Q97" s="516"/>
      <c r="R97" s="513"/>
      <c r="S97" s="348"/>
      <c r="T97" s="514"/>
      <c r="U97" s="513"/>
      <c r="V97" s="515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2720.3000000000006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515">
        <v>62.400000000000006</v>
      </c>
      <c r="M98" s="515">
        <v>525.19999999999982</v>
      </c>
      <c r="N98" s="9"/>
      <c r="O98" s="9"/>
      <c r="P98" s="9"/>
      <c r="Q98" s="513"/>
      <c r="R98" s="513"/>
      <c r="S98" s="361"/>
      <c r="T98" s="514"/>
      <c r="U98" s="513"/>
      <c r="V98" s="515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3403</v>
      </c>
      <c r="B99" s="3"/>
      <c r="C99" s="3"/>
      <c r="D99" s="33">
        <f t="shared" si="2"/>
        <v>2973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515">
        <v>195.5</v>
      </c>
      <c r="M99" s="515">
        <v>556.19999999999982</v>
      </c>
      <c r="N99" s="9"/>
      <c r="O99" s="9"/>
      <c r="P99" s="9"/>
      <c r="Q99" s="513"/>
      <c r="R99" s="513"/>
      <c r="S99" s="361"/>
      <c r="T99" s="514"/>
      <c r="U99" s="513"/>
      <c r="V99" s="515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3139.3999999999987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515">
        <v>296.8</v>
      </c>
      <c r="M100" s="515">
        <v>486.5</v>
      </c>
      <c r="N100" s="9"/>
      <c r="O100" s="9"/>
      <c r="P100" s="9"/>
      <c r="Q100" s="225"/>
      <c r="R100" s="513"/>
      <c r="S100" s="348"/>
      <c r="T100" s="514"/>
      <c r="U100" s="513"/>
      <c r="V100" s="515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2622.2000000000044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515">
        <v>113.5</v>
      </c>
      <c r="M101" s="515">
        <v>477.70000000000255</v>
      </c>
      <c r="N101" s="9"/>
      <c r="O101" s="9"/>
      <c r="P101" s="9"/>
      <c r="Q101" s="517"/>
      <c r="R101" s="513"/>
      <c r="S101" s="348"/>
      <c r="T101" s="514"/>
      <c r="U101" s="513"/>
      <c r="V101" s="515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2165.8999999999992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515">
        <v>171.6</v>
      </c>
      <c r="M102" s="515">
        <v>553.80000000000018</v>
      </c>
      <c r="N102" s="9"/>
      <c r="O102" s="9"/>
      <c r="P102" s="9"/>
      <c r="Q102" s="513"/>
      <c r="R102" s="513"/>
      <c r="S102" s="348"/>
      <c r="T102" s="514"/>
      <c r="U102" s="513"/>
      <c r="V102" s="515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3374</v>
      </c>
      <c r="B103" s="3"/>
      <c r="C103" s="3"/>
      <c r="D103" s="33">
        <f>SUM(E103:DZ103)</f>
        <v>3242.5999999999995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515">
        <v>317.3</v>
      </c>
      <c r="M103" s="515">
        <v>433.94999999999891</v>
      </c>
      <c r="N103" s="9"/>
      <c r="O103" s="9"/>
      <c r="P103" s="9"/>
      <c r="Q103" s="516"/>
      <c r="R103" s="513"/>
      <c r="S103" s="349"/>
      <c r="T103" s="514"/>
      <c r="U103" s="513"/>
      <c r="V103" s="515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2012</v>
      </c>
      <c r="B104" s="3"/>
      <c r="C104" s="3"/>
      <c r="D104" s="33">
        <f>SUM(E104:DZ104)</f>
        <v>3705.5000000000036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515">
        <v>211</v>
      </c>
      <c r="M104" s="515">
        <v>669.90000000000327</v>
      </c>
      <c r="N104" s="9"/>
      <c r="O104" s="9"/>
      <c r="P104" s="9"/>
      <c r="Q104" s="516"/>
      <c r="R104" s="513"/>
      <c r="S104" s="348"/>
      <c r="T104" s="514"/>
      <c r="U104" s="513"/>
      <c r="V104" s="515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3463</v>
      </c>
      <c r="F108" s="110" t="s">
        <v>843</v>
      </c>
      <c r="G108" s="110" t="s">
        <v>175</v>
      </c>
      <c r="H108" s="110" t="s">
        <v>2198</v>
      </c>
      <c r="I108" s="110" t="s">
        <v>2201</v>
      </c>
      <c r="J108" s="110" t="s">
        <v>2207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3386</v>
      </c>
      <c r="B109" s="3"/>
      <c r="C109" s="3"/>
      <c r="D109" s="33">
        <f t="shared" ref="D109:D140" si="3">SUM(E109:DZ109)</f>
        <v>2436.7000000000012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270"/>
      <c r="K109" s="63"/>
      <c r="L109" s="63"/>
      <c r="M109" s="63"/>
      <c r="N109" s="361"/>
      <c r="O109" s="338"/>
      <c r="P109" s="6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2014</v>
      </c>
      <c r="B110" s="3"/>
      <c r="C110" s="3"/>
      <c r="D110" s="33">
        <f t="shared" si="3"/>
        <v>3008.4999999999982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289"/>
      <c r="K110" s="278"/>
      <c r="L110" s="278"/>
      <c r="M110" s="63"/>
      <c r="N110" s="348"/>
      <c r="O110" s="338"/>
      <c r="P110" s="63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3376.5000000000009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289"/>
      <c r="K111" s="225"/>
      <c r="L111" s="225"/>
      <c r="M111" s="63"/>
      <c r="N111" s="348"/>
      <c r="O111" s="338"/>
      <c r="P111" s="63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2007</v>
      </c>
      <c r="B112" s="3"/>
      <c r="C112" s="3"/>
      <c r="D112" s="33">
        <f t="shared" si="3"/>
        <v>1858.2999999999988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289"/>
      <c r="K112" s="278"/>
      <c r="L112" s="278"/>
      <c r="M112" s="63"/>
      <c r="N112" s="348"/>
      <c r="O112" s="338"/>
      <c r="P112" s="63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3647.2999999999956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289"/>
      <c r="K113" s="225"/>
      <c r="L113" s="225"/>
      <c r="M113" s="63"/>
      <c r="N113" s="348"/>
      <c r="O113" s="338"/>
      <c r="P113" s="63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3687.4999999999964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289"/>
      <c r="K114" s="225"/>
      <c r="L114" s="225"/>
      <c r="M114" s="63"/>
      <c r="N114" s="348"/>
      <c r="O114" s="338"/>
      <c r="P114" s="63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3375</v>
      </c>
      <c r="B115" s="3"/>
      <c r="C115" s="3"/>
      <c r="D115" s="33">
        <f t="shared" si="3"/>
        <v>3394.2000000000025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270"/>
      <c r="K115" s="63"/>
      <c r="L115" s="63"/>
      <c r="M115" s="63"/>
      <c r="N115" s="361"/>
      <c r="O115" s="338"/>
      <c r="P115" s="63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1815.1999999999994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289"/>
      <c r="K116" s="278"/>
      <c r="L116" s="278"/>
      <c r="M116" s="63"/>
      <c r="N116" s="348"/>
      <c r="O116" s="338"/>
      <c r="P116" s="63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2027</v>
      </c>
      <c r="B117" s="3"/>
      <c r="C117" s="3"/>
      <c r="D117" s="33">
        <f t="shared" si="3"/>
        <v>3621.3000000000015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289"/>
      <c r="K117" s="278"/>
      <c r="L117" s="278"/>
      <c r="M117" s="63"/>
      <c r="N117" s="348"/>
      <c r="O117" s="338"/>
      <c r="P117" s="63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3394</v>
      </c>
      <c r="B118" s="3"/>
      <c r="C118" s="3"/>
      <c r="D118" s="33">
        <f t="shared" si="3"/>
        <v>4017.6999999999971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270"/>
      <c r="K118" s="63"/>
      <c r="L118" s="63"/>
      <c r="M118" s="63"/>
      <c r="N118" s="361"/>
      <c r="O118" s="338"/>
      <c r="P118" s="63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3323.7000000000007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289"/>
      <c r="K119" s="225"/>
      <c r="L119" s="225"/>
      <c r="M119" s="63"/>
      <c r="N119" s="348"/>
      <c r="O119" s="338"/>
      <c r="P119" s="63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2587.6000000000013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289"/>
      <c r="K120" s="63"/>
      <c r="L120" s="63"/>
      <c r="M120" s="63"/>
      <c r="N120" s="348"/>
      <c r="O120" s="338"/>
      <c r="P120" s="63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2057</v>
      </c>
      <c r="B121" s="3"/>
      <c r="C121" s="3"/>
      <c r="D121" s="33">
        <f t="shared" si="3"/>
        <v>2697.8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289"/>
      <c r="K121" s="278"/>
      <c r="L121" s="278"/>
      <c r="M121" s="63"/>
      <c r="N121" s="348"/>
      <c r="O121" s="338"/>
      <c r="P121" s="63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1843.9999999999982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289"/>
      <c r="K122" s="63"/>
      <c r="L122" s="63"/>
      <c r="M122" s="63"/>
      <c r="N122" s="348"/>
      <c r="O122" s="338"/>
      <c r="P122" s="63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2010</v>
      </c>
      <c r="B123" s="3"/>
      <c r="C123" s="3"/>
      <c r="D123" s="33">
        <f t="shared" si="3"/>
        <v>3716.5000000000005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289"/>
      <c r="K123" s="278"/>
      <c r="L123" s="278"/>
      <c r="M123" s="63"/>
      <c r="N123" s="348"/>
      <c r="O123" s="338"/>
      <c r="P123" s="63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3376</v>
      </c>
      <c r="B124" s="3"/>
      <c r="C124" s="3"/>
      <c r="D124" s="33">
        <f t="shared" si="3"/>
        <v>2491.7000000000021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270"/>
      <c r="K124" s="63"/>
      <c r="L124" s="63"/>
      <c r="M124" s="63"/>
      <c r="N124" s="361"/>
      <c r="O124" s="338"/>
      <c r="P124" s="63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2698.2999999999961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289"/>
      <c r="K125" s="63"/>
      <c r="L125" s="63"/>
      <c r="M125" s="63"/>
      <c r="N125" s="348"/>
      <c r="O125" s="338"/>
      <c r="P125" s="63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2028</v>
      </c>
      <c r="B126" s="3"/>
      <c r="C126" s="3"/>
      <c r="D126" s="33">
        <f t="shared" si="3"/>
        <v>2196.4999999999955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289"/>
      <c r="K126" s="278"/>
      <c r="L126" s="278"/>
      <c r="M126" s="63"/>
      <c r="N126" s="348"/>
      <c r="O126" s="338"/>
      <c r="P126" s="63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3379</v>
      </c>
      <c r="B127" s="3"/>
      <c r="C127" s="3"/>
      <c r="D127" s="33">
        <f t="shared" si="3"/>
        <v>3193.599999999999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270"/>
      <c r="K127" s="63"/>
      <c r="L127" s="63"/>
      <c r="M127" s="63"/>
      <c r="N127" s="361"/>
      <c r="O127" s="338"/>
      <c r="P127" s="63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3393</v>
      </c>
      <c r="B128" s="3"/>
      <c r="C128" s="3"/>
      <c r="D128" s="33">
        <f t="shared" si="3"/>
        <v>3575.0999999999985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270"/>
      <c r="K128" s="63"/>
      <c r="L128" s="63"/>
      <c r="M128" s="63"/>
      <c r="N128" s="361"/>
      <c r="O128" s="338"/>
      <c r="P128" s="63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4060.1999999999966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288"/>
      <c r="K129" s="278"/>
      <c r="L129" s="278"/>
      <c r="M129" s="63"/>
      <c r="N129" s="349"/>
      <c r="O129" s="338"/>
      <c r="P129" s="63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2022</v>
      </c>
      <c r="B130" s="3"/>
      <c r="C130" s="3"/>
      <c r="D130" s="33">
        <f t="shared" si="3"/>
        <v>2831.8000000000034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289"/>
      <c r="K130" s="278"/>
      <c r="L130" s="278"/>
      <c r="M130" s="63"/>
      <c r="N130" s="348"/>
      <c r="O130" s="338"/>
      <c r="P130" s="63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3364.3999999999996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289"/>
      <c r="K131" s="278"/>
      <c r="L131" s="278"/>
      <c r="M131" s="63"/>
      <c r="N131" s="348"/>
      <c r="O131" s="338"/>
      <c r="P131" s="63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3377</v>
      </c>
      <c r="B132" s="3"/>
      <c r="C132" s="3"/>
      <c r="D132" s="33">
        <f t="shared" si="3"/>
        <v>2635.2000000000012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270"/>
      <c r="K132" s="63"/>
      <c r="L132" s="63"/>
      <c r="M132" s="63"/>
      <c r="N132" s="361"/>
      <c r="O132" s="338"/>
      <c r="P132" s="63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2029</v>
      </c>
      <c r="B133" s="3"/>
      <c r="C133" s="3"/>
      <c r="D133" s="33">
        <f t="shared" si="3"/>
        <v>3627.8000000000006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289"/>
      <c r="K133" s="278"/>
      <c r="L133" s="278"/>
      <c r="M133" s="63"/>
      <c r="N133" s="348"/>
      <c r="O133" s="338"/>
      <c r="P133" s="63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3238.8999999999965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289"/>
      <c r="K134" s="225"/>
      <c r="L134" s="225"/>
      <c r="M134" s="63"/>
      <c r="N134" s="348"/>
      <c r="O134" s="338"/>
      <c r="P134" s="63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2791.8999999999978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289"/>
      <c r="K135" s="63"/>
      <c r="L135" s="63"/>
      <c r="M135" s="63"/>
      <c r="N135" s="348"/>
      <c r="O135" s="338"/>
      <c r="P135" s="63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2015</v>
      </c>
      <c r="B136" s="3"/>
      <c r="C136" s="3"/>
      <c r="D136" s="33">
        <f t="shared" si="3"/>
        <v>2870.8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289"/>
      <c r="K136" s="278"/>
      <c r="L136" s="278"/>
      <c r="M136" s="63"/>
      <c r="N136" s="348"/>
      <c r="O136" s="338"/>
      <c r="P136" s="63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3387</v>
      </c>
      <c r="B137" s="3"/>
      <c r="C137" s="3"/>
      <c r="D137" s="33">
        <f t="shared" si="3"/>
        <v>2941.6499999999996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270"/>
      <c r="K137" s="63"/>
      <c r="L137" s="63"/>
      <c r="M137" s="63"/>
      <c r="N137" s="361"/>
      <c r="O137" s="338"/>
      <c r="P137" s="63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4065.7000000000007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288"/>
      <c r="K138" s="278"/>
      <c r="L138" s="278"/>
      <c r="M138" s="63"/>
      <c r="N138" s="349"/>
      <c r="O138" s="338"/>
      <c r="P138" s="63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2663.6000000000013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288"/>
      <c r="K139" s="278"/>
      <c r="L139" s="278"/>
      <c r="M139" s="63"/>
      <c r="N139" s="349"/>
      <c r="O139" s="338"/>
      <c r="P139" s="63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2979.2000000000012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289"/>
      <c r="K140" s="63"/>
      <c r="L140" s="63"/>
      <c r="M140" s="63"/>
      <c r="N140" s="348"/>
      <c r="O140" s="338"/>
      <c r="P140" s="63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3449.8000000000006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289"/>
      <c r="K141" s="278"/>
      <c r="L141" s="278"/>
      <c r="M141" s="63"/>
      <c r="N141" s="348"/>
      <c r="O141" s="338"/>
      <c r="P141" s="6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3402</v>
      </c>
      <c r="B142" s="3"/>
      <c r="C142" s="3"/>
      <c r="D142" s="33">
        <f t="shared" si="4"/>
        <v>3376.2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270"/>
      <c r="K142" s="63"/>
      <c r="L142" s="63"/>
      <c r="M142" s="63"/>
      <c r="N142" s="361"/>
      <c r="O142" s="338"/>
      <c r="P142" s="63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2011</v>
      </c>
      <c r="B143" s="3"/>
      <c r="C143" s="3"/>
      <c r="D143" s="33">
        <f t="shared" si="4"/>
        <v>2918.4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288"/>
      <c r="K143" s="278"/>
      <c r="L143" s="278"/>
      <c r="M143" s="63"/>
      <c r="N143" s="349"/>
      <c r="O143" s="338"/>
      <c r="P143" s="6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3281.9999999999995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289"/>
      <c r="K144" s="278"/>
      <c r="L144" s="278"/>
      <c r="M144" s="63"/>
      <c r="N144" s="348"/>
      <c r="O144" s="338"/>
      <c r="P144" s="6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2998.0000000000036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289"/>
      <c r="K145" s="63"/>
      <c r="L145" s="63"/>
      <c r="M145" s="63"/>
      <c r="N145" s="348"/>
      <c r="O145" s="338"/>
      <c r="P145" s="63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3435.9999999999955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289"/>
      <c r="K146" s="63"/>
      <c r="L146" s="63"/>
      <c r="M146" s="63"/>
      <c r="N146" s="348"/>
      <c r="O146" s="338"/>
      <c r="P146" s="6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3381</v>
      </c>
      <c r="B147" s="3"/>
      <c r="C147" s="3"/>
      <c r="D147" s="33">
        <f t="shared" si="4"/>
        <v>2567.1999999999998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270"/>
      <c r="K147" s="63"/>
      <c r="L147" s="63"/>
      <c r="M147" s="63"/>
      <c r="N147" s="361"/>
      <c r="O147" s="338"/>
      <c r="P147" s="6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3406</v>
      </c>
      <c r="B148" s="3"/>
      <c r="C148" s="3"/>
      <c r="D148" s="33">
        <f t="shared" si="4"/>
        <v>3814.7500000000018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270"/>
      <c r="K148" s="63"/>
      <c r="L148" s="63"/>
      <c r="M148" s="63"/>
      <c r="N148" s="361"/>
      <c r="O148" s="338"/>
      <c r="P148" s="63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3384</v>
      </c>
      <c r="B149" s="3"/>
      <c r="C149" s="3"/>
      <c r="D149" s="33">
        <f t="shared" si="4"/>
        <v>1833.2000000000032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270"/>
      <c r="K149" s="63"/>
      <c r="L149" s="63"/>
      <c r="M149" s="63"/>
      <c r="N149" s="361"/>
      <c r="O149" s="338"/>
      <c r="P149" s="63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3210.5000000000005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289"/>
      <c r="K150" s="225"/>
      <c r="L150" s="225"/>
      <c r="M150" s="63"/>
      <c r="N150" s="348"/>
      <c r="O150" s="338"/>
      <c r="P150" s="63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3380</v>
      </c>
      <c r="B151" s="3"/>
      <c r="C151" s="3"/>
      <c r="D151" s="33">
        <f t="shared" si="4"/>
        <v>3036.2500000000018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270"/>
      <c r="K151" s="63"/>
      <c r="L151" s="63"/>
      <c r="M151" s="63"/>
      <c r="N151" s="361"/>
      <c r="O151" s="338"/>
      <c r="P151" s="63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3852.4999999999982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289"/>
      <c r="K152" s="278"/>
      <c r="L152" s="278"/>
      <c r="M152" s="63"/>
      <c r="N152" s="348"/>
      <c r="O152" s="338"/>
      <c r="P152" s="63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4520</v>
      </c>
      <c r="B153" s="3"/>
      <c r="C153" s="3"/>
      <c r="D153" s="33">
        <f t="shared" si="4"/>
        <v>3226.2999999999961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289"/>
      <c r="K153" s="278"/>
      <c r="L153" s="278"/>
      <c r="M153" s="63"/>
      <c r="N153" s="348"/>
      <c r="O153" s="338"/>
      <c r="P153" s="63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2556.1999999999971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289"/>
      <c r="K154" s="63"/>
      <c r="L154" s="63"/>
      <c r="M154" s="63"/>
      <c r="N154" s="348"/>
      <c r="O154" s="338"/>
      <c r="P154" s="63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3816.6999999999975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289"/>
      <c r="K155" s="63"/>
      <c r="L155" s="63"/>
      <c r="M155" s="63"/>
      <c r="N155" s="348"/>
      <c r="O155" s="338"/>
      <c r="P155" s="63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4201.6999999999989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289"/>
      <c r="K156" s="63"/>
      <c r="L156" s="63"/>
      <c r="M156" s="63"/>
      <c r="N156" s="348"/>
      <c r="O156" s="338"/>
      <c r="P156" s="63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3373</v>
      </c>
      <c r="B157" s="3"/>
      <c r="C157" s="3"/>
      <c r="D157" s="33">
        <f t="shared" si="4"/>
        <v>2437.2000000000035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288"/>
      <c r="K157" s="278"/>
      <c r="L157" s="278"/>
      <c r="M157" s="63"/>
      <c r="N157" s="349"/>
      <c r="O157" s="338"/>
      <c r="P157" s="63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2030</v>
      </c>
      <c r="B158" s="3"/>
      <c r="C158" s="3"/>
      <c r="D158" s="33">
        <f t="shared" si="4"/>
        <v>3032.1999999999989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289"/>
      <c r="K158" s="278"/>
      <c r="L158" s="278"/>
      <c r="M158" s="63"/>
      <c r="N158" s="348"/>
      <c r="O158" s="338"/>
      <c r="P158" s="63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3383</v>
      </c>
      <c r="B159" s="3"/>
      <c r="C159" s="3"/>
      <c r="D159" s="33">
        <f t="shared" si="4"/>
        <v>2860.3999999999933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270"/>
      <c r="K159" s="63"/>
      <c r="L159" s="63"/>
      <c r="M159" s="63"/>
      <c r="N159" s="361"/>
      <c r="O159" s="338"/>
      <c r="P159" s="63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2031</v>
      </c>
      <c r="B160" s="3"/>
      <c r="C160" s="3"/>
      <c r="D160" s="33">
        <f t="shared" si="4"/>
        <v>3561.4999999999968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289"/>
      <c r="K160" s="278"/>
      <c r="L160" s="278"/>
      <c r="M160" s="63"/>
      <c r="N160" s="348"/>
      <c r="O160" s="338"/>
      <c r="P160" s="63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3136.1000000000013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289"/>
      <c r="K161" s="225"/>
      <c r="L161" s="225"/>
      <c r="M161" s="63"/>
      <c r="N161" s="348"/>
      <c r="O161" s="338"/>
      <c r="P161" s="63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3070.3000000000011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289"/>
      <c r="K162" s="63"/>
      <c r="L162" s="63"/>
      <c r="M162" s="63"/>
      <c r="N162" s="348"/>
      <c r="O162" s="338"/>
      <c r="P162" s="63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3382</v>
      </c>
      <c r="B163" s="3"/>
      <c r="C163" s="3"/>
      <c r="D163" s="33">
        <f t="shared" si="4"/>
        <v>2988.6000000000004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270"/>
      <c r="K163" s="63"/>
      <c r="L163" s="63"/>
      <c r="M163" s="63"/>
      <c r="N163" s="361"/>
      <c r="O163" s="338"/>
      <c r="P163" s="63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3389</v>
      </c>
      <c r="B164" s="3"/>
      <c r="C164" s="3"/>
      <c r="D164" s="33">
        <f t="shared" si="4"/>
        <v>1994.3000000000029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270"/>
      <c r="K164" s="63"/>
      <c r="L164" s="63"/>
      <c r="M164" s="63"/>
      <c r="N164" s="361"/>
      <c r="O164" s="338"/>
      <c r="P164" s="63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2685.7000000000021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289"/>
      <c r="K165" s="63"/>
      <c r="L165" s="63"/>
      <c r="M165" s="63"/>
      <c r="N165" s="348"/>
      <c r="O165" s="338"/>
      <c r="P165" s="63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3046.2999999999984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289"/>
      <c r="K166" s="278"/>
      <c r="L166" s="278"/>
      <c r="M166" s="63"/>
      <c r="N166" s="348"/>
      <c r="O166" s="338"/>
      <c r="P166" s="63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3129.1999999999985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289"/>
      <c r="K167" s="63"/>
      <c r="L167" s="63"/>
      <c r="M167" s="63"/>
      <c r="N167" s="348"/>
      <c r="O167" s="338"/>
      <c r="P167" s="63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3121.5000000000009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289"/>
      <c r="K168" s="225"/>
      <c r="L168" s="225"/>
      <c r="M168" s="63"/>
      <c r="N168" s="348"/>
      <c r="O168" s="338"/>
      <c r="P168" s="63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2487.1999999999989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288"/>
      <c r="K169" s="225"/>
      <c r="L169" s="225"/>
      <c r="M169" s="63"/>
      <c r="N169" s="349"/>
      <c r="O169" s="338"/>
      <c r="P169" s="63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3378</v>
      </c>
      <c r="B170" s="3"/>
      <c r="C170" s="3"/>
      <c r="D170" s="33">
        <f t="shared" si="4"/>
        <v>3348.4500000000016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270"/>
      <c r="K170" s="63"/>
      <c r="L170" s="63"/>
      <c r="M170" s="63"/>
      <c r="N170" s="361"/>
      <c r="O170" s="338"/>
      <c r="P170" s="63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4034.7000000000048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289"/>
      <c r="K171" s="63"/>
      <c r="L171" s="63"/>
      <c r="M171" s="63"/>
      <c r="N171" s="348"/>
      <c r="O171" s="338"/>
      <c r="P171" s="63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2962.8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288"/>
      <c r="K172" s="278"/>
      <c r="L172" s="278"/>
      <c r="M172" s="63"/>
      <c r="N172" s="349"/>
      <c r="O172" s="338"/>
      <c r="P172" s="63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3751.3999999999996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288"/>
      <c r="K173" s="63"/>
      <c r="L173" s="63"/>
      <c r="M173" s="63"/>
      <c r="N173" s="349"/>
      <c r="O173" s="338"/>
      <c r="P173" s="63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4076.3000000000015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289"/>
      <c r="K174" s="278"/>
      <c r="L174" s="278"/>
      <c r="M174" s="63"/>
      <c r="N174" s="348"/>
      <c r="O174" s="338"/>
      <c r="P174" s="63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3390</v>
      </c>
      <c r="B175" s="3"/>
      <c r="C175" s="3"/>
      <c r="D175" s="33">
        <f t="shared" si="5"/>
        <v>2964.5000000000018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270"/>
      <c r="K175" s="63"/>
      <c r="L175" s="63"/>
      <c r="M175" s="63"/>
      <c r="N175" s="361"/>
      <c r="O175" s="338"/>
      <c r="P175" s="63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2725.2999999999993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288"/>
      <c r="K176" s="63"/>
      <c r="L176" s="63"/>
      <c r="M176" s="63"/>
      <c r="N176" s="349"/>
      <c r="O176" s="338"/>
      <c r="P176" s="63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3569.9000000000005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289"/>
      <c r="K177" s="63"/>
      <c r="L177" s="63"/>
      <c r="M177" s="63"/>
      <c r="N177" s="348"/>
      <c r="O177" s="338"/>
      <c r="P177" s="63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3072.9999999999977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289"/>
      <c r="K178" s="63"/>
      <c r="L178" s="63"/>
      <c r="M178" s="63"/>
      <c r="N178" s="348"/>
      <c r="O178" s="338"/>
      <c r="P178" s="63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3941.5999999999949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289"/>
      <c r="K179" s="225"/>
      <c r="L179" s="225"/>
      <c r="M179" s="63"/>
      <c r="N179" s="348"/>
      <c r="O179" s="338"/>
      <c r="P179" s="63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3405</v>
      </c>
      <c r="B180" s="3"/>
      <c r="C180" s="3"/>
      <c r="D180" s="33">
        <f t="shared" si="5"/>
        <v>2850.5000000000009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270"/>
      <c r="K180" s="63"/>
      <c r="L180" s="63"/>
      <c r="M180" s="63"/>
      <c r="N180" s="361"/>
      <c r="O180" s="338"/>
      <c r="P180" s="63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4293.6000000000004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289"/>
      <c r="K181" s="278"/>
      <c r="L181" s="278"/>
      <c r="M181" s="63"/>
      <c r="N181" s="348"/>
      <c r="O181" s="338"/>
      <c r="P181" s="63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2054</v>
      </c>
      <c r="B182" s="3"/>
      <c r="C182" s="3"/>
      <c r="D182" s="33">
        <f t="shared" si="5"/>
        <v>1984.0999999999976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289"/>
      <c r="K182" s="278"/>
      <c r="L182" s="278"/>
      <c r="M182" s="63"/>
      <c r="N182" s="348"/>
      <c r="O182" s="338"/>
      <c r="P182" s="63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4122.6999999999989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289"/>
      <c r="K183" s="63"/>
      <c r="L183" s="63"/>
      <c r="M183" s="63"/>
      <c r="N183" s="348"/>
      <c r="O183" s="338"/>
      <c r="P183" s="63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3221.8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289"/>
      <c r="K184" s="63"/>
      <c r="L184" s="63"/>
      <c r="M184" s="63"/>
      <c r="N184" s="348"/>
      <c r="O184" s="338"/>
      <c r="P184" s="63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2056</v>
      </c>
      <c r="B185" s="3"/>
      <c r="C185" s="3"/>
      <c r="D185" s="33">
        <f t="shared" si="5"/>
        <v>1765.0000000000009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289"/>
      <c r="K185" s="278"/>
      <c r="L185" s="278"/>
      <c r="M185" s="63"/>
      <c r="N185" s="348"/>
      <c r="O185" s="338"/>
      <c r="P185" s="63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2161</v>
      </c>
      <c r="B186" s="3"/>
      <c r="C186" s="3"/>
      <c r="D186" s="33">
        <f t="shared" si="5"/>
        <v>2795.2999999999979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289"/>
      <c r="K186" s="278"/>
      <c r="L186" s="278"/>
      <c r="M186" s="63"/>
      <c r="N186" s="348"/>
      <c r="O186" s="338"/>
      <c r="P186" s="63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3385</v>
      </c>
      <c r="B187" s="3"/>
      <c r="C187" s="3"/>
      <c r="D187" s="33">
        <f t="shared" si="5"/>
        <v>3293.8999999999996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270"/>
      <c r="K187" s="63"/>
      <c r="L187" s="63"/>
      <c r="M187" s="63"/>
      <c r="N187" s="361"/>
      <c r="O187" s="338"/>
      <c r="P187" s="63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4121.6000000000004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289"/>
      <c r="K188" s="63"/>
      <c r="L188" s="63"/>
      <c r="M188" s="63"/>
      <c r="N188" s="348"/>
      <c r="O188" s="338"/>
      <c r="P188" s="63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3388</v>
      </c>
      <c r="B189" s="3"/>
      <c r="C189" s="3"/>
      <c r="D189" s="33">
        <f t="shared" si="5"/>
        <v>3306.8999999999987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270"/>
      <c r="K189" s="63"/>
      <c r="L189" s="63"/>
      <c r="M189" s="63"/>
      <c r="N189" s="361"/>
      <c r="O189" s="338"/>
      <c r="P189" s="63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2006</v>
      </c>
      <c r="B190" s="3"/>
      <c r="C190" s="3"/>
      <c r="D190" s="33">
        <f t="shared" si="5"/>
        <v>3559.4000000000019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289"/>
      <c r="K190" s="278"/>
      <c r="L190" s="278"/>
      <c r="M190" s="63"/>
      <c r="N190" s="348"/>
      <c r="O190" s="338"/>
      <c r="P190" s="63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3407</v>
      </c>
      <c r="B191" s="3"/>
      <c r="C191" s="3"/>
      <c r="D191" s="33">
        <f t="shared" si="5"/>
        <v>2245.85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270"/>
      <c r="K191" s="63"/>
      <c r="L191" s="63"/>
      <c r="M191" s="63"/>
      <c r="N191" s="361"/>
      <c r="O191" s="338"/>
      <c r="P191" s="63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3688.3499999999931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288"/>
      <c r="K192" s="278"/>
      <c r="L192" s="278"/>
      <c r="M192" s="63"/>
      <c r="N192" s="349"/>
      <c r="O192" s="338"/>
      <c r="P192" s="63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2179.7999999999988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289"/>
      <c r="K193" s="63"/>
      <c r="L193" s="63"/>
      <c r="M193" s="63"/>
      <c r="N193" s="348"/>
      <c r="O193" s="338"/>
      <c r="P193" s="63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3391</v>
      </c>
      <c r="B194" s="3"/>
      <c r="C194" s="3"/>
      <c r="D194" s="33">
        <f t="shared" si="5"/>
        <v>1959.2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270"/>
      <c r="K194" s="63"/>
      <c r="L194" s="63"/>
      <c r="M194" s="63"/>
      <c r="N194" s="361"/>
      <c r="O194" s="338"/>
      <c r="P194" s="63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1905.3999999999996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289"/>
      <c r="K195" s="63"/>
      <c r="L195" s="63"/>
      <c r="M195" s="63"/>
      <c r="N195" s="348"/>
      <c r="O195" s="338"/>
      <c r="P195" s="63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2735.5000000000009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288"/>
      <c r="K196" s="63"/>
      <c r="L196" s="63"/>
      <c r="M196" s="63"/>
      <c r="N196" s="349"/>
      <c r="O196" s="338"/>
      <c r="P196" s="63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3414.9999999999977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289"/>
      <c r="K197" s="63"/>
      <c r="L197" s="63"/>
      <c r="M197" s="63"/>
      <c r="N197" s="348"/>
      <c r="O197" s="338"/>
      <c r="P197" s="63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4349.9000000000033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289"/>
      <c r="K198" s="28"/>
      <c r="L198" s="28"/>
      <c r="M198" s="63"/>
      <c r="N198" s="348"/>
      <c r="O198" s="338"/>
      <c r="P198" s="63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2971.3999999999951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289"/>
      <c r="K199" s="278"/>
      <c r="L199" s="278"/>
      <c r="M199" s="63"/>
      <c r="N199" s="348"/>
      <c r="O199" s="338"/>
      <c r="P199" s="63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3600.4000000000028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289"/>
      <c r="K200" s="225"/>
      <c r="L200" s="225"/>
      <c r="M200" s="63"/>
      <c r="N200" s="348"/>
      <c r="O200" s="338"/>
      <c r="P200" s="63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2034</v>
      </c>
      <c r="B201" s="3"/>
      <c r="C201" s="3"/>
      <c r="D201" s="33">
        <f t="shared" si="5"/>
        <v>3185.2000000000016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289"/>
      <c r="K201" s="278"/>
      <c r="L201" s="278"/>
      <c r="M201" s="63"/>
      <c r="N201" s="348"/>
      <c r="O201" s="338"/>
      <c r="P201" s="63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3283.9000000000015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270"/>
      <c r="K202" s="63"/>
      <c r="L202" s="63"/>
      <c r="M202" s="63"/>
      <c r="N202" s="361"/>
      <c r="O202" s="338"/>
      <c r="P202" s="63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3403</v>
      </c>
      <c r="B203" s="3"/>
      <c r="C203" s="3"/>
      <c r="D203" s="33">
        <f t="shared" si="5"/>
        <v>3471.1000000000022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270"/>
      <c r="K203" s="63"/>
      <c r="L203" s="63"/>
      <c r="M203" s="63"/>
      <c r="N203" s="361"/>
      <c r="O203" s="338"/>
      <c r="P203" s="63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3424.5999999999981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289"/>
      <c r="K204" s="225"/>
      <c r="L204" s="225"/>
      <c r="M204" s="63"/>
      <c r="N204" s="348"/>
      <c r="O204" s="338"/>
      <c r="P204" s="63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3981.9000000000015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289"/>
      <c r="K205" s="28"/>
      <c r="L205" s="28"/>
      <c r="M205" s="63"/>
      <c r="N205" s="348"/>
      <c r="O205" s="338"/>
      <c r="P205" s="63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3279.9999999999986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289"/>
      <c r="K206" s="63"/>
      <c r="L206" s="63"/>
      <c r="M206" s="63"/>
      <c r="N206" s="348"/>
      <c r="O206" s="338"/>
      <c r="P206" s="63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3374</v>
      </c>
      <c r="B207" s="3"/>
      <c r="C207" s="3"/>
      <c r="D207" s="33">
        <f>SUM(E207:DZ207)</f>
        <v>1467.5499999999986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288"/>
      <c r="K207" s="278"/>
      <c r="L207" s="278"/>
      <c r="M207" s="63"/>
      <c r="N207" s="349"/>
      <c r="O207" s="338"/>
      <c r="P207" s="63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2012</v>
      </c>
      <c r="B208" s="3"/>
      <c r="C208" s="3"/>
      <c r="D208" s="33">
        <f>SUM(E208:DZ208)</f>
        <v>3638.0000000000023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289"/>
      <c r="K208" s="278"/>
      <c r="L208" s="278"/>
      <c r="M208" s="63"/>
      <c r="N208" s="348"/>
      <c r="O208" s="338"/>
      <c r="P208" s="63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2325</v>
      </c>
      <c r="F212" s="110" t="s">
        <v>4850</v>
      </c>
      <c r="G212" s="110" t="s">
        <v>4851</v>
      </c>
      <c r="H212" s="110" t="s">
        <v>4852</v>
      </c>
      <c r="I212" s="110" t="s">
        <v>4939</v>
      </c>
      <c r="J212" s="110" t="s">
        <v>4997</v>
      </c>
      <c r="K212" s="110" t="s">
        <v>4998</v>
      </c>
      <c r="L212" s="110" t="s">
        <v>4999</v>
      </c>
      <c r="M212" s="110" t="s">
        <v>5000</v>
      </c>
      <c r="N212" s="110" t="s">
        <v>5023</v>
      </c>
      <c r="O212" s="110" t="s">
        <v>5077</v>
      </c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3386</v>
      </c>
      <c r="B213" s="3"/>
      <c r="C213" s="3"/>
      <c r="D213" s="33">
        <f t="shared" ref="D213:D244" si="6">SUM(E213:DZ213)</f>
        <v>422.6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515">
        <v>31.3</v>
      </c>
      <c r="P213" s="63"/>
      <c r="Q213" s="513"/>
      <c r="R213" s="513"/>
      <c r="S213" s="361"/>
      <c r="T213" s="514"/>
      <c r="U213" s="513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2014</v>
      </c>
      <c r="B214" s="3"/>
      <c r="C214" s="3"/>
      <c r="D214" s="33">
        <f t="shared" si="6"/>
        <v>455.30000000000013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515">
        <v>22.9</v>
      </c>
      <c r="P214" s="278"/>
      <c r="Q214" s="516"/>
      <c r="R214" s="513"/>
      <c r="S214" s="348"/>
      <c r="T214" s="514"/>
      <c r="U214" s="513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490.19999999999953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515">
        <v>0</v>
      </c>
      <c r="P215" s="225"/>
      <c r="Q215" s="225"/>
      <c r="R215" s="513"/>
      <c r="S215" s="348"/>
      <c r="T215" s="514"/>
      <c r="U215" s="513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2007</v>
      </c>
      <c r="B216" s="3"/>
      <c r="C216" s="3"/>
      <c r="D216" s="33">
        <f t="shared" si="6"/>
        <v>540.20000000000005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515">
        <v>70</v>
      </c>
      <c r="P216" s="278"/>
      <c r="Q216" s="516"/>
      <c r="R216" s="513"/>
      <c r="S216" s="348"/>
      <c r="T216" s="514"/>
      <c r="U216" s="513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301.79999999999973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515">
        <v>0</v>
      </c>
      <c r="P217" s="225"/>
      <c r="Q217" s="225"/>
      <c r="R217" s="513"/>
      <c r="S217" s="348"/>
      <c r="T217" s="514"/>
      <c r="U217" s="513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584.39999999999975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515">
        <v>39</v>
      </c>
      <c r="P218" s="225"/>
      <c r="Q218" s="225"/>
      <c r="R218" s="513"/>
      <c r="S218" s="348"/>
      <c r="T218" s="514"/>
      <c r="U218" s="513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3375</v>
      </c>
      <c r="B219" s="3"/>
      <c r="C219" s="3"/>
      <c r="D219" s="33">
        <f t="shared" si="6"/>
        <v>468.59999999999968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515">
        <v>83.6</v>
      </c>
      <c r="P219" s="63"/>
      <c r="Q219" s="513"/>
      <c r="R219" s="513"/>
      <c r="S219" s="361"/>
      <c r="T219" s="514"/>
      <c r="U219" s="513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286.20000000000005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515">
        <v>25.5</v>
      </c>
      <c r="P220" s="278"/>
      <c r="Q220" s="516"/>
      <c r="R220" s="513"/>
      <c r="S220" s="348"/>
      <c r="T220" s="514"/>
      <c r="U220" s="513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2027</v>
      </c>
      <c r="B221" s="3"/>
      <c r="C221" s="3"/>
      <c r="D221" s="33">
        <f t="shared" si="6"/>
        <v>336.89999999999986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515">
        <v>0</v>
      </c>
      <c r="P221" s="278"/>
      <c r="Q221" s="516"/>
      <c r="R221" s="513"/>
      <c r="S221" s="348"/>
      <c r="T221" s="514"/>
      <c r="U221" s="513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3394</v>
      </c>
      <c r="B222" s="3"/>
      <c r="C222" s="3"/>
      <c r="D222" s="33">
        <f t="shared" si="6"/>
        <v>385.59999999999997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515">
        <v>5.5</v>
      </c>
      <c r="P222" s="63"/>
      <c r="Q222" s="513"/>
      <c r="R222" s="513"/>
      <c r="S222" s="361"/>
      <c r="T222" s="514"/>
      <c r="U222" s="513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403.3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515">
        <v>0</v>
      </c>
      <c r="P223" s="225"/>
      <c r="Q223" s="225"/>
      <c r="R223" s="513"/>
      <c r="S223" s="348"/>
      <c r="T223" s="514"/>
      <c r="U223" s="513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333.80000000000007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515">
        <v>6</v>
      </c>
      <c r="P224" s="63"/>
      <c r="Q224" s="513"/>
      <c r="R224" s="513"/>
      <c r="S224" s="348"/>
      <c r="T224" s="514"/>
      <c r="U224" s="513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2057</v>
      </c>
      <c r="B225" s="3"/>
      <c r="C225" s="3"/>
      <c r="D225" s="33">
        <f t="shared" si="6"/>
        <v>464.55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515">
        <v>10.3</v>
      </c>
      <c r="P225" s="278"/>
      <c r="Q225" s="516"/>
      <c r="R225" s="513"/>
      <c r="S225" s="348"/>
      <c r="T225" s="514"/>
      <c r="U225" s="513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525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515">
        <v>96</v>
      </c>
      <c r="P226" s="63"/>
      <c r="Q226" s="513"/>
      <c r="R226" s="513"/>
      <c r="S226" s="348"/>
      <c r="T226" s="514"/>
      <c r="U226" s="513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2010</v>
      </c>
      <c r="B227" s="3"/>
      <c r="C227" s="3"/>
      <c r="D227" s="33">
        <f t="shared" si="6"/>
        <v>554.90000000000009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515">
        <v>44.5</v>
      </c>
      <c r="P227" s="278"/>
      <c r="Q227" s="516"/>
      <c r="R227" s="513"/>
      <c r="S227" s="348"/>
      <c r="T227" s="514"/>
      <c r="U227" s="513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3376</v>
      </c>
      <c r="B228" s="3"/>
      <c r="C228" s="3"/>
      <c r="D228" s="33">
        <f t="shared" si="6"/>
        <v>388.19999999999993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515">
        <v>15.299999999999999</v>
      </c>
      <c r="P228" s="63"/>
      <c r="Q228" s="513"/>
      <c r="R228" s="513"/>
      <c r="S228" s="361"/>
      <c r="T228" s="514"/>
      <c r="U228" s="513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543.70000000000016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515">
        <v>0</v>
      </c>
      <c r="P229" s="63"/>
      <c r="Q229" s="513"/>
      <c r="R229" s="513"/>
      <c r="S229" s="348"/>
      <c r="T229" s="514"/>
      <c r="U229" s="513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2028</v>
      </c>
      <c r="B230" s="3"/>
      <c r="C230" s="3"/>
      <c r="D230" s="33">
        <f t="shared" si="6"/>
        <v>490.19999999999959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515">
        <v>65.5</v>
      </c>
      <c r="P230" s="278"/>
      <c r="Q230" s="516"/>
      <c r="R230" s="513"/>
      <c r="S230" s="348"/>
      <c r="T230" s="514"/>
      <c r="U230" s="513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3379</v>
      </c>
      <c r="B231" s="3"/>
      <c r="C231" s="3"/>
      <c r="D231" s="33">
        <f t="shared" si="6"/>
        <v>267.40000000000003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515">
        <v>52.3</v>
      </c>
      <c r="P231" s="63"/>
      <c r="Q231" s="513"/>
      <c r="R231" s="513"/>
      <c r="S231" s="361"/>
      <c r="T231" s="514"/>
      <c r="U231" s="513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3393</v>
      </c>
      <c r="B232" s="3"/>
      <c r="C232" s="3"/>
      <c r="D232" s="33">
        <f t="shared" si="6"/>
        <v>422.30000000000013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515">
        <v>78</v>
      </c>
      <c r="P232" s="63"/>
      <c r="Q232" s="513"/>
      <c r="R232" s="513"/>
      <c r="S232" s="361"/>
      <c r="T232" s="514"/>
      <c r="U232" s="513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241.29999999999959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515">
        <v>0</v>
      </c>
      <c r="P233" s="278"/>
      <c r="Q233" s="516"/>
      <c r="R233" s="513"/>
      <c r="S233" s="349"/>
      <c r="T233" s="514"/>
      <c r="U233" s="513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2022</v>
      </c>
      <c r="B234" s="3"/>
      <c r="C234" s="3"/>
      <c r="D234" s="33">
        <f t="shared" si="6"/>
        <v>419.89999999999981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515">
        <v>39</v>
      </c>
      <c r="P234" s="278"/>
      <c r="Q234" s="516"/>
      <c r="R234" s="513"/>
      <c r="S234" s="348"/>
      <c r="T234" s="514"/>
      <c r="U234" s="513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584.10000000000014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515">
        <v>5.5</v>
      </c>
      <c r="P235" s="278"/>
      <c r="Q235" s="516"/>
      <c r="R235" s="513"/>
      <c r="S235" s="348"/>
      <c r="T235" s="514"/>
      <c r="U235" s="513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3377</v>
      </c>
      <c r="B236" s="3"/>
      <c r="C236" s="3"/>
      <c r="D236" s="33">
        <f t="shared" si="6"/>
        <v>389.90000000000009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515">
        <v>81.400000000000006</v>
      </c>
      <c r="P236" s="63"/>
      <c r="Q236" s="513"/>
      <c r="R236" s="513"/>
      <c r="S236" s="361"/>
      <c r="T236" s="514"/>
      <c r="U236" s="513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2029</v>
      </c>
      <c r="B237" s="3"/>
      <c r="C237" s="3"/>
      <c r="D237" s="33">
        <f t="shared" si="6"/>
        <v>247.4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515">
        <v>0</v>
      </c>
      <c r="P237" s="278"/>
      <c r="Q237" s="516"/>
      <c r="R237" s="513"/>
      <c r="S237" s="348"/>
      <c r="T237" s="514"/>
      <c r="U237" s="513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356.90000000000009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515">
        <v>78</v>
      </c>
      <c r="P238" s="225"/>
      <c r="Q238" s="225"/>
      <c r="R238" s="513"/>
      <c r="S238" s="348"/>
      <c r="T238" s="514"/>
      <c r="U238" s="513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259.89999999999998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515">
        <v>6</v>
      </c>
      <c r="P239" s="63"/>
      <c r="Q239" s="513"/>
      <c r="R239" s="513"/>
      <c r="S239" s="348"/>
      <c r="T239" s="514"/>
      <c r="U239" s="513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2015</v>
      </c>
      <c r="B240" s="3"/>
      <c r="C240" s="3"/>
      <c r="D240" s="33">
        <f t="shared" si="6"/>
        <v>482.95000000000027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515">
        <v>117</v>
      </c>
      <c r="P240" s="278"/>
      <c r="Q240" s="516"/>
      <c r="R240" s="513"/>
      <c r="S240" s="348"/>
      <c r="T240" s="514"/>
      <c r="U240" s="513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3387</v>
      </c>
      <c r="B241" s="3"/>
      <c r="C241" s="3"/>
      <c r="D241" s="33">
        <f t="shared" si="6"/>
        <v>492.80000000000024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515">
        <v>44</v>
      </c>
      <c r="P241" s="63"/>
      <c r="Q241" s="513"/>
      <c r="R241" s="513"/>
      <c r="S241" s="361"/>
      <c r="T241" s="514"/>
      <c r="U241" s="513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408.20000000000022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515">
        <v>49.5</v>
      </c>
      <c r="P242" s="278"/>
      <c r="Q242" s="516"/>
      <c r="R242" s="513"/>
      <c r="S242" s="349"/>
      <c r="T242" s="514"/>
      <c r="U242" s="513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354.19999999999987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515">
        <v>0</v>
      </c>
      <c r="P243" s="278"/>
      <c r="Q243" s="516"/>
      <c r="R243" s="513"/>
      <c r="S243" s="349"/>
      <c r="T243" s="514"/>
      <c r="U243" s="513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386.89999999999975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515">
        <v>0</v>
      </c>
      <c r="P244" s="63"/>
      <c r="Q244" s="513"/>
      <c r="R244" s="513"/>
      <c r="S244" s="348"/>
      <c r="T244" s="514"/>
      <c r="U244" s="513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533.3000000000003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515">
        <v>0</v>
      </c>
      <c r="P245" s="278"/>
      <c r="Q245" s="516"/>
      <c r="R245" s="513"/>
      <c r="S245" s="348"/>
      <c r="T245" s="514"/>
      <c r="U245" s="513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3402</v>
      </c>
      <c r="B246" s="3"/>
      <c r="C246" s="3"/>
      <c r="D246" s="33">
        <f t="shared" si="7"/>
        <v>358.49999999999994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515">
        <v>0</v>
      </c>
      <c r="P246" s="63"/>
      <c r="Q246" s="513"/>
      <c r="R246" s="513"/>
      <c r="S246" s="361"/>
      <c r="T246" s="514"/>
      <c r="U246" s="513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2011</v>
      </c>
      <c r="B247" s="3"/>
      <c r="C247" s="3"/>
      <c r="D247" s="33">
        <f t="shared" si="7"/>
        <v>317.70000000000022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515">
        <v>79.600000000000009</v>
      </c>
      <c r="P247" s="278"/>
      <c r="Q247" s="516"/>
      <c r="R247" s="513"/>
      <c r="S247" s="349"/>
      <c r="T247" s="514"/>
      <c r="U247" s="513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406.79999999999995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515">
        <v>58.900000000000006</v>
      </c>
      <c r="P248" s="278"/>
      <c r="Q248" s="516"/>
      <c r="R248" s="513"/>
      <c r="S248" s="348"/>
      <c r="T248" s="514"/>
      <c r="U248" s="513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457.09999999999991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515">
        <v>48</v>
      </c>
      <c r="P249" s="63"/>
      <c r="Q249" s="513"/>
      <c r="R249" s="513"/>
      <c r="S249" s="348"/>
      <c r="T249" s="514"/>
      <c r="U249" s="513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401.09999999999997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515">
        <v>39</v>
      </c>
      <c r="P250" s="63"/>
      <c r="Q250" s="513"/>
      <c r="R250" s="513"/>
      <c r="S250" s="348"/>
      <c r="T250" s="514"/>
      <c r="U250" s="513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3381</v>
      </c>
      <c r="B251" s="3"/>
      <c r="C251" s="3"/>
      <c r="D251" s="33">
        <f t="shared" si="7"/>
        <v>360.3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515">
        <v>0</v>
      </c>
      <c r="P251" s="63"/>
      <c r="Q251" s="513"/>
      <c r="R251" s="513"/>
      <c r="S251" s="361"/>
      <c r="T251" s="514"/>
      <c r="U251" s="513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3406</v>
      </c>
      <c r="B252" s="3"/>
      <c r="C252" s="3"/>
      <c r="D252" s="33">
        <f t="shared" si="7"/>
        <v>498.39999999999975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515">
        <v>49.5</v>
      </c>
      <c r="P252" s="63"/>
      <c r="Q252" s="513"/>
      <c r="R252" s="513"/>
      <c r="S252" s="361"/>
      <c r="T252" s="514"/>
      <c r="U252" s="513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3384</v>
      </c>
      <c r="B253" s="3"/>
      <c r="C253" s="3"/>
      <c r="D253" s="33">
        <f t="shared" si="7"/>
        <v>429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515">
        <v>58.5</v>
      </c>
      <c r="P253" s="63"/>
      <c r="Q253" s="513"/>
      <c r="R253" s="513"/>
      <c r="S253" s="361"/>
      <c r="T253" s="514"/>
      <c r="U253" s="513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479.5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515">
        <v>0</v>
      </c>
      <c r="P254" s="225"/>
      <c r="Q254" s="225"/>
      <c r="R254" s="513"/>
      <c r="S254" s="348"/>
      <c r="T254" s="514"/>
      <c r="U254" s="513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3380</v>
      </c>
      <c r="B255" s="3"/>
      <c r="C255" s="3"/>
      <c r="D255" s="33">
        <f t="shared" si="7"/>
        <v>322.99999999999994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515">
        <v>4.8</v>
      </c>
      <c r="P255" s="63"/>
      <c r="Q255" s="513"/>
      <c r="R255" s="513"/>
      <c r="S255" s="361"/>
      <c r="T255" s="514"/>
      <c r="U255" s="513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548.80000000000018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515">
        <v>51.6</v>
      </c>
      <c r="P256" s="278"/>
      <c r="Q256" s="516"/>
      <c r="R256" s="513"/>
      <c r="S256" s="348"/>
      <c r="T256" s="514"/>
      <c r="U256" s="513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4520</v>
      </c>
      <c r="B257" s="3"/>
      <c r="C257" s="3"/>
      <c r="D257" s="33">
        <f t="shared" si="7"/>
        <v>354.90000000000015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515">
        <v>0</v>
      </c>
      <c r="P257" s="278"/>
      <c r="Q257" s="516"/>
      <c r="R257" s="513"/>
      <c r="S257" s="348"/>
      <c r="T257" s="514"/>
      <c r="U257" s="513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419.29999999999967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515">
        <v>0</v>
      </c>
      <c r="P258" s="63"/>
      <c r="Q258" s="513"/>
      <c r="R258" s="513"/>
      <c r="S258" s="348"/>
      <c r="T258" s="514"/>
      <c r="U258" s="513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484.3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515">
        <v>0</v>
      </c>
      <c r="P259" s="63"/>
      <c r="Q259" s="513"/>
      <c r="R259" s="513"/>
      <c r="S259" s="348"/>
      <c r="T259" s="514"/>
      <c r="U259" s="513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289.00000000000017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515">
        <v>9.9</v>
      </c>
      <c r="P260" s="63"/>
      <c r="Q260" s="513"/>
      <c r="R260" s="513"/>
      <c r="S260" s="348"/>
      <c r="T260" s="514"/>
      <c r="U260" s="513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3373</v>
      </c>
      <c r="B261" s="3"/>
      <c r="C261" s="3"/>
      <c r="D261" s="33">
        <f t="shared" si="7"/>
        <v>249.99999999999989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515">
        <v>6</v>
      </c>
      <c r="P261" s="278"/>
      <c r="Q261" s="516"/>
      <c r="R261" s="513"/>
      <c r="S261" s="349"/>
      <c r="T261" s="514"/>
      <c r="U261" s="513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2030</v>
      </c>
      <c r="B262" s="3"/>
      <c r="C262" s="3"/>
      <c r="D262" s="33">
        <f t="shared" si="7"/>
        <v>355.7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515">
        <v>115.7</v>
      </c>
      <c r="P262" s="278"/>
      <c r="Q262" s="516"/>
      <c r="R262" s="513"/>
      <c r="S262" s="348"/>
      <c r="T262" s="514"/>
      <c r="U262" s="513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3383</v>
      </c>
      <c r="B263" s="3"/>
      <c r="C263" s="3"/>
      <c r="D263" s="33">
        <f t="shared" si="7"/>
        <v>467.20000000000033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515">
        <v>0</v>
      </c>
      <c r="P263" s="63"/>
      <c r="Q263" s="513"/>
      <c r="R263" s="513"/>
      <c r="S263" s="361"/>
      <c r="T263" s="514"/>
      <c r="U263" s="513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2031</v>
      </c>
      <c r="B264" s="3"/>
      <c r="C264" s="3"/>
      <c r="D264" s="33">
        <f t="shared" si="7"/>
        <v>436.99999999999972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515">
        <v>18.2</v>
      </c>
      <c r="P264" s="278"/>
      <c r="Q264" s="516"/>
      <c r="R264" s="513"/>
      <c r="S264" s="348"/>
      <c r="T264" s="514"/>
      <c r="U264" s="513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200.9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515">
        <v>33</v>
      </c>
      <c r="P265" s="225"/>
      <c r="Q265" s="225"/>
      <c r="R265" s="513"/>
      <c r="S265" s="348"/>
      <c r="T265" s="514"/>
      <c r="U265" s="513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735.90000000000009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515">
        <v>16.299999999999997</v>
      </c>
      <c r="P266" s="63"/>
      <c r="Q266" s="513"/>
      <c r="R266" s="513"/>
      <c r="S266" s="348"/>
      <c r="T266" s="514"/>
      <c r="U266" s="513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3382</v>
      </c>
      <c r="B267" s="3"/>
      <c r="C267" s="3"/>
      <c r="D267" s="33">
        <f t="shared" si="7"/>
        <v>460.80000000000013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515">
        <v>0</v>
      </c>
      <c r="P267" s="63"/>
      <c r="Q267" s="513"/>
      <c r="R267" s="513"/>
      <c r="S267" s="361"/>
      <c r="T267" s="514"/>
      <c r="U267" s="513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3389</v>
      </c>
      <c r="B268" s="3"/>
      <c r="C268" s="3"/>
      <c r="D268" s="33">
        <f t="shared" si="7"/>
        <v>374.1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515">
        <v>52</v>
      </c>
      <c r="P268" s="63"/>
      <c r="Q268" s="513"/>
      <c r="R268" s="513"/>
      <c r="S268" s="361"/>
      <c r="T268" s="514"/>
      <c r="U268" s="513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425.19999999999982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515">
        <v>65.400000000000006</v>
      </c>
      <c r="P269" s="63"/>
      <c r="Q269" s="513"/>
      <c r="R269" s="513"/>
      <c r="S269" s="348"/>
      <c r="T269" s="514"/>
      <c r="U269" s="513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259.3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515">
        <v>4.8</v>
      </c>
      <c r="P270" s="278"/>
      <c r="Q270" s="516"/>
      <c r="R270" s="513"/>
      <c r="S270" s="348"/>
      <c r="T270" s="514"/>
      <c r="U270" s="513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305.90000000000015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515">
        <v>33</v>
      </c>
      <c r="P271" s="63"/>
      <c r="Q271" s="513"/>
      <c r="R271" s="513"/>
      <c r="S271" s="348"/>
      <c r="T271" s="514"/>
      <c r="U271" s="513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352.30000000000013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515">
        <v>17.200000000000003</v>
      </c>
      <c r="P272" s="225"/>
      <c r="Q272" s="225"/>
      <c r="R272" s="513"/>
      <c r="S272" s="348"/>
      <c r="T272" s="514"/>
      <c r="U272" s="513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524.59999999999991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515">
        <v>5.5</v>
      </c>
      <c r="P273" s="225"/>
      <c r="Q273" s="225"/>
      <c r="R273" s="513"/>
      <c r="S273" s="349"/>
      <c r="T273" s="514"/>
      <c r="U273" s="513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3378</v>
      </c>
      <c r="B274" s="3"/>
      <c r="C274" s="3"/>
      <c r="D274" s="33">
        <f t="shared" si="7"/>
        <v>357.60000000000025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515">
        <v>16.5</v>
      </c>
      <c r="P274" s="63"/>
      <c r="Q274" s="513"/>
      <c r="R274" s="513"/>
      <c r="S274" s="361"/>
      <c r="T274" s="514"/>
      <c r="U274" s="513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346.09999999999962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515">
        <v>11.700000000000001</v>
      </c>
      <c r="P275" s="63"/>
      <c r="Q275" s="513"/>
      <c r="R275" s="513"/>
      <c r="S275" s="348"/>
      <c r="T275" s="514"/>
      <c r="U275" s="513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286.00000000000017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515">
        <v>6.5</v>
      </c>
      <c r="P276" s="278"/>
      <c r="Q276" s="516"/>
      <c r="R276" s="513"/>
      <c r="S276" s="349"/>
      <c r="T276" s="514"/>
      <c r="U276" s="513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330.39999999999986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515">
        <v>45</v>
      </c>
      <c r="P277" s="63"/>
      <c r="Q277" s="513"/>
      <c r="R277" s="513"/>
      <c r="S277" s="349"/>
      <c r="T277" s="514"/>
      <c r="U277" s="513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347.69999999999982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515">
        <v>0</v>
      </c>
      <c r="P278" s="278"/>
      <c r="Q278" s="516"/>
      <c r="R278" s="513"/>
      <c r="S278" s="348"/>
      <c r="T278" s="514"/>
      <c r="U278" s="513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3390</v>
      </c>
      <c r="B279" s="3"/>
      <c r="C279" s="3"/>
      <c r="D279" s="33">
        <f t="shared" si="8"/>
        <v>534.89999999999986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515">
        <v>0</v>
      </c>
      <c r="P279" s="63"/>
      <c r="Q279" s="513"/>
      <c r="R279" s="513"/>
      <c r="S279" s="361"/>
      <c r="T279" s="514"/>
      <c r="U279" s="513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549.40000000000009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515">
        <v>95</v>
      </c>
      <c r="P280" s="63"/>
      <c r="Q280" s="513"/>
      <c r="R280" s="513"/>
      <c r="S280" s="349"/>
      <c r="T280" s="514"/>
      <c r="U280" s="513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649.49999999999989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515">
        <v>63.2</v>
      </c>
      <c r="P281" s="63"/>
      <c r="Q281" s="513"/>
      <c r="R281" s="513"/>
      <c r="S281" s="348"/>
      <c r="T281" s="514"/>
      <c r="U281" s="513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424.29999999999995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515">
        <v>5.6</v>
      </c>
      <c r="P282" s="63"/>
      <c r="Q282" s="513"/>
      <c r="R282" s="513"/>
      <c r="S282" s="348"/>
      <c r="T282" s="514"/>
      <c r="U282" s="513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318.30000000000007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515">
        <v>21.1</v>
      </c>
      <c r="P283" s="225"/>
      <c r="Q283" s="225"/>
      <c r="R283" s="513"/>
      <c r="S283" s="348"/>
      <c r="T283" s="514"/>
      <c r="U283" s="513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3405</v>
      </c>
      <c r="B284" s="3"/>
      <c r="C284" s="3"/>
      <c r="D284" s="33">
        <f t="shared" si="8"/>
        <v>416.7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515">
        <v>59.8</v>
      </c>
      <c r="P284" s="63"/>
      <c r="Q284" s="513"/>
      <c r="R284" s="513"/>
      <c r="S284" s="361"/>
      <c r="T284" s="514"/>
      <c r="U284" s="513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399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515">
        <v>45</v>
      </c>
      <c r="P285" s="278"/>
      <c r="Q285" s="516"/>
      <c r="R285" s="513"/>
      <c r="S285" s="348"/>
      <c r="T285" s="514"/>
      <c r="U285" s="513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2054</v>
      </c>
      <c r="B286" s="3"/>
      <c r="C286" s="3"/>
      <c r="D286" s="33">
        <f t="shared" si="8"/>
        <v>282.2000000000001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515">
        <v>24.7</v>
      </c>
      <c r="P286" s="278"/>
      <c r="Q286" s="516"/>
      <c r="R286" s="513"/>
      <c r="S286" s="348"/>
      <c r="T286" s="514"/>
      <c r="U286" s="513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434.19999999999976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515">
        <v>57.5</v>
      </c>
      <c r="P287" s="63"/>
      <c r="Q287" s="513"/>
      <c r="R287" s="513"/>
      <c r="S287" s="348"/>
      <c r="T287" s="514"/>
      <c r="U287" s="513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411.39999999999992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515">
        <v>0</v>
      </c>
      <c r="P288" s="63"/>
      <c r="Q288" s="513"/>
      <c r="R288" s="513"/>
      <c r="S288" s="348"/>
      <c r="T288" s="514"/>
      <c r="U288" s="513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2056</v>
      </c>
      <c r="B289" s="3"/>
      <c r="C289" s="3"/>
      <c r="D289" s="33">
        <f t="shared" si="8"/>
        <v>298.89999999999998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515">
        <v>127.5</v>
      </c>
      <c r="P289" s="278"/>
      <c r="Q289" s="516"/>
      <c r="R289" s="513"/>
      <c r="S289" s="348"/>
      <c r="T289" s="514"/>
      <c r="U289" s="513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2161</v>
      </c>
      <c r="B290" s="3"/>
      <c r="C290" s="3"/>
      <c r="D290" s="33">
        <f t="shared" si="8"/>
        <v>542.69999999999993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515">
        <v>19.100000000000001</v>
      </c>
      <c r="P290" s="278"/>
      <c r="Q290" s="516"/>
      <c r="R290" s="513"/>
      <c r="S290" s="348"/>
      <c r="T290" s="514"/>
      <c r="U290" s="513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3385</v>
      </c>
      <c r="B291" s="3"/>
      <c r="C291" s="3"/>
      <c r="D291" s="33">
        <f t="shared" si="8"/>
        <v>504.9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515">
        <v>68.900000000000006</v>
      </c>
      <c r="P291" s="63"/>
      <c r="Q291" s="513"/>
      <c r="R291" s="513"/>
      <c r="S291" s="361"/>
      <c r="T291" s="514"/>
      <c r="U291" s="513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442.7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515">
        <v>42</v>
      </c>
      <c r="P292" s="63"/>
      <c r="Q292" s="513"/>
      <c r="R292" s="513"/>
      <c r="S292" s="348"/>
      <c r="T292" s="514"/>
      <c r="U292" s="513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3388</v>
      </c>
      <c r="B293" s="3"/>
      <c r="C293" s="3"/>
      <c r="D293" s="33">
        <f t="shared" si="8"/>
        <v>462.00000000000006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515">
        <v>58.4</v>
      </c>
      <c r="P293" s="63"/>
      <c r="Q293" s="513"/>
      <c r="R293" s="513"/>
      <c r="S293" s="361"/>
      <c r="T293" s="514"/>
      <c r="U293" s="51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2006</v>
      </c>
      <c r="B294" s="3"/>
      <c r="C294" s="3"/>
      <c r="D294" s="33">
        <f t="shared" si="8"/>
        <v>338.5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515">
        <v>0</v>
      </c>
      <c r="P294" s="278"/>
      <c r="Q294" s="516"/>
      <c r="R294" s="513"/>
      <c r="S294" s="348"/>
      <c r="T294" s="514"/>
      <c r="U294" s="513"/>
    </row>
    <row r="295" spans="1:40" ht="15.75">
      <c r="A295" s="3" t="s">
        <v>3407</v>
      </c>
      <c r="B295" s="3"/>
      <c r="C295" s="3"/>
      <c r="D295" s="33">
        <f t="shared" si="8"/>
        <v>378.9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515">
        <v>5.5</v>
      </c>
      <c r="P295" s="63"/>
      <c r="Q295" s="513"/>
      <c r="R295" s="513"/>
      <c r="S295" s="361"/>
      <c r="T295" s="514"/>
      <c r="U295" s="51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417.19999999999993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515">
        <v>0</v>
      </c>
      <c r="P296" s="278"/>
      <c r="Q296" s="516"/>
      <c r="R296" s="513"/>
      <c r="S296" s="349"/>
      <c r="T296" s="514"/>
      <c r="U296" s="513"/>
      <c r="W296" s="110"/>
      <c r="X296" s="110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662.80000000000018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515">
        <v>33</v>
      </c>
      <c r="P297" s="63"/>
      <c r="Q297" s="513"/>
      <c r="R297" s="513"/>
      <c r="S297" s="348"/>
      <c r="T297" s="514"/>
      <c r="U297" s="513"/>
      <c r="W297" s="9"/>
      <c r="X297" s="9"/>
      <c r="Y297" s="9"/>
      <c r="Z297" s="9"/>
      <c r="AA297" s="278"/>
      <c r="AB297" s="278"/>
      <c r="AC297" s="63"/>
      <c r="AD297" s="348"/>
      <c r="AE297" s="63"/>
      <c r="AF297" s="63"/>
    </row>
    <row r="298" spans="1:40" ht="15.75">
      <c r="A298" s="3" t="s">
        <v>3391</v>
      </c>
      <c r="B298" s="3"/>
      <c r="C298" s="3"/>
      <c r="D298" s="33">
        <f t="shared" si="8"/>
        <v>286.70000000000005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515">
        <v>30</v>
      </c>
      <c r="P298" s="63"/>
      <c r="Q298" s="513"/>
      <c r="R298" s="513"/>
      <c r="S298" s="361"/>
      <c r="T298" s="514"/>
      <c r="U298" s="513"/>
      <c r="W298" s="9"/>
      <c r="X298" s="9"/>
      <c r="Y298" s="9"/>
      <c r="Z298" s="9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357.7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515">
        <v>11.1</v>
      </c>
      <c r="P299" s="63"/>
      <c r="Q299" s="513"/>
      <c r="R299" s="513"/>
      <c r="S299" s="348"/>
      <c r="T299" s="514"/>
      <c r="U299" s="513"/>
      <c r="W299" s="9"/>
      <c r="X299" s="9"/>
      <c r="Y299" s="9"/>
      <c r="Z299" s="9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290.7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515">
        <v>5.5</v>
      </c>
      <c r="P300" s="63"/>
      <c r="Q300" s="513"/>
      <c r="R300" s="513"/>
      <c r="S300" s="349"/>
      <c r="T300" s="514"/>
      <c r="U300" s="513"/>
      <c r="W300" s="9"/>
      <c r="X300" s="9"/>
      <c r="Y300" s="9"/>
      <c r="Z300" s="9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329.20000000000022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515">
        <v>14.3</v>
      </c>
      <c r="P301" s="63"/>
      <c r="Q301" s="513"/>
      <c r="R301" s="513"/>
      <c r="S301" s="348"/>
      <c r="T301" s="514"/>
      <c r="U301" s="513"/>
      <c r="W301" s="9"/>
      <c r="X301" s="9"/>
      <c r="Y301" s="9"/>
      <c r="Z301" s="9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463.3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515">
        <v>10.799999999999999</v>
      </c>
      <c r="P302" s="28"/>
      <c r="Q302" s="517"/>
      <c r="R302" s="513"/>
      <c r="S302" s="348"/>
      <c r="T302" s="514"/>
      <c r="U302" s="513"/>
      <c r="W302" s="9"/>
      <c r="X302" s="9"/>
      <c r="Y302" s="9"/>
      <c r="Z302" s="9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436.40000000000038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515">
        <v>15.6</v>
      </c>
      <c r="P303" s="278"/>
      <c r="Q303" s="516"/>
      <c r="R303" s="513"/>
      <c r="S303" s="348"/>
      <c r="T303" s="514"/>
      <c r="U303" s="513"/>
      <c r="W303" s="9"/>
      <c r="X303" s="9"/>
      <c r="Y303" s="9"/>
      <c r="Z303" s="9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538.1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515">
        <v>33</v>
      </c>
      <c r="P304" s="225"/>
      <c r="Q304" s="225"/>
      <c r="R304" s="513"/>
      <c r="S304" s="348"/>
      <c r="T304" s="514"/>
      <c r="U304" s="513"/>
      <c r="W304" s="9"/>
      <c r="X304" s="9"/>
      <c r="Y304" s="9"/>
      <c r="Z304" s="9"/>
      <c r="AA304" s="278"/>
      <c r="AB304" s="278"/>
      <c r="AC304" s="63"/>
      <c r="AD304" s="348"/>
      <c r="AE304" s="63"/>
      <c r="AF304" s="63"/>
    </row>
    <row r="305" spans="1:32" ht="15.75">
      <c r="A305" s="60" t="s">
        <v>2034</v>
      </c>
      <c r="B305" s="3"/>
      <c r="C305" s="3"/>
      <c r="D305" s="33">
        <f t="shared" si="8"/>
        <v>225.1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515">
        <v>0</v>
      </c>
      <c r="P305" s="278"/>
      <c r="Q305" s="516"/>
      <c r="R305" s="513"/>
      <c r="S305" s="348"/>
      <c r="T305" s="514"/>
      <c r="U305" s="513"/>
      <c r="W305" s="9"/>
      <c r="X305" s="9"/>
      <c r="Y305" s="9"/>
      <c r="Z305" s="9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339.70000000000005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515">
        <v>0</v>
      </c>
      <c r="P306" s="63"/>
      <c r="Q306" s="513"/>
      <c r="R306" s="513"/>
      <c r="S306" s="361"/>
      <c r="T306" s="514"/>
      <c r="U306" s="513"/>
      <c r="W306" s="9"/>
      <c r="X306" s="9"/>
      <c r="Y306" s="9"/>
      <c r="Z306" s="9"/>
      <c r="AA306" s="225"/>
      <c r="AB306" s="225"/>
      <c r="AC306" s="63"/>
      <c r="AD306" s="349"/>
      <c r="AE306" s="63"/>
      <c r="AF306" s="63"/>
    </row>
    <row r="307" spans="1:32" ht="15.75">
      <c r="A307" s="3" t="s">
        <v>3403</v>
      </c>
      <c r="B307" s="3"/>
      <c r="C307" s="3"/>
      <c r="D307" s="33">
        <f t="shared" si="8"/>
        <v>256.79999999999978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515">
        <v>6</v>
      </c>
      <c r="P307" s="63"/>
      <c r="Q307" s="513"/>
      <c r="R307" s="513"/>
      <c r="S307" s="361"/>
      <c r="T307" s="514"/>
      <c r="U307" s="513"/>
      <c r="W307" s="9"/>
      <c r="X307" s="9"/>
      <c r="Y307" s="9"/>
      <c r="Z307" s="9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675.69999999999993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515">
        <v>39</v>
      </c>
      <c r="P308" s="225"/>
      <c r="Q308" s="225"/>
      <c r="R308" s="513"/>
      <c r="S308" s="348"/>
      <c r="T308" s="514"/>
      <c r="U308" s="513"/>
      <c r="W308" s="9"/>
      <c r="X308" s="9"/>
      <c r="Y308" s="9"/>
      <c r="Z308" s="9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488.1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515">
        <v>37.200000000000003</v>
      </c>
      <c r="P309" s="28"/>
      <c r="Q309" s="517"/>
      <c r="R309" s="513"/>
      <c r="S309" s="348"/>
      <c r="T309" s="514"/>
      <c r="U309" s="513"/>
      <c r="W309" s="9"/>
      <c r="X309" s="9"/>
      <c r="Y309" s="9"/>
      <c r="Z309" s="9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324.89999999999998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515">
        <v>12.2</v>
      </c>
      <c r="P310" s="63"/>
      <c r="Q310" s="513"/>
      <c r="R310" s="513"/>
      <c r="S310" s="348"/>
      <c r="T310" s="514"/>
      <c r="U310" s="513"/>
      <c r="W310" s="9"/>
      <c r="X310" s="9"/>
      <c r="Y310" s="9"/>
      <c r="Z310" s="9"/>
      <c r="AA310" s="278"/>
      <c r="AB310" s="278"/>
      <c r="AC310" s="63"/>
      <c r="AD310" s="349"/>
      <c r="AE310" s="63"/>
      <c r="AF310" s="63"/>
    </row>
    <row r="311" spans="1:32" ht="15.75">
      <c r="A311" s="60" t="s">
        <v>3374</v>
      </c>
      <c r="B311" s="3"/>
      <c r="C311" s="3"/>
      <c r="D311" s="33">
        <f>SUM(E311:DZ311)</f>
        <v>431.4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515">
        <v>51</v>
      </c>
      <c r="P311" s="278"/>
      <c r="Q311" s="516"/>
      <c r="R311" s="513"/>
      <c r="S311" s="349"/>
      <c r="T311" s="514"/>
      <c r="U311" s="513"/>
      <c r="W311" s="9"/>
      <c r="X311" s="9"/>
      <c r="Y311" s="9"/>
      <c r="Z311" s="9"/>
      <c r="AA311" s="63"/>
      <c r="AB311" s="63"/>
      <c r="AC311" s="63"/>
      <c r="AD311" s="348"/>
      <c r="AE311" s="63"/>
      <c r="AF311" s="63"/>
    </row>
    <row r="312" spans="1:32" ht="15.75">
      <c r="A312" s="60" t="s">
        <v>2012</v>
      </c>
      <c r="B312" s="3"/>
      <c r="C312" s="3"/>
      <c r="D312" s="33">
        <f>SUM(E312:DZ312)</f>
        <v>498.7000000000001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515">
        <v>52.8</v>
      </c>
      <c r="P312" s="278"/>
      <c r="Q312" s="516"/>
      <c r="R312" s="513"/>
      <c r="S312" s="348"/>
      <c r="T312" s="514"/>
      <c r="U312" s="513"/>
      <c r="W312" s="9"/>
      <c r="X312" s="9"/>
      <c r="Y312" s="9"/>
      <c r="Z312" s="9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4155</v>
      </c>
      <c r="F316" s="110" t="s">
        <v>4156</v>
      </c>
      <c r="G316" s="110" t="s">
        <v>4822</v>
      </c>
      <c r="H316" s="110" t="s">
        <v>4832</v>
      </c>
      <c r="I316" s="110" t="s">
        <v>4834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3386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1"/>
      <c r="N317" s="338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2014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8"/>
      <c r="N318" s="338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8"/>
      <c r="N319" s="338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2007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8"/>
      <c r="N320" s="338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8"/>
      <c r="N321" s="338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8"/>
      <c r="N322" s="338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3375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1"/>
      <c r="N323" s="338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8"/>
      <c r="N324" s="338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2027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8"/>
      <c r="N325" s="338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3394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1"/>
      <c r="N326" s="338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8"/>
      <c r="N327" s="338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8"/>
      <c r="N328" s="338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2057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8"/>
      <c r="N329" s="338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8"/>
      <c r="N330" s="338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2010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8"/>
      <c r="N331" s="338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3376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1"/>
      <c r="N332" s="338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8"/>
      <c r="N333" s="338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2028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8"/>
      <c r="N334" s="338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3379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1"/>
      <c r="N335" s="338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3393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1"/>
      <c r="N336" s="338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49"/>
      <c r="N337" s="338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2022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8"/>
      <c r="N338" s="338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8"/>
      <c r="N339" s="338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3377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1"/>
      <c r="N340" s="338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2029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8"/>
      <c r="N341" s="338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8"/>
      <c r="N342" s="338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8"/>
      <c r="N343" s="338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2015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8"/>
      <c r="N344" s="338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3387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1"/>
      <c r="N345" s="338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49"/>
      <c r="N346" s="338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49"/>
      <c r="N347" s="338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8"/>
      <c r="N348" s="338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8"/>
      <c r="N349" s="338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3402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1"/>
      <c r="N350" s="338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2011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49"/>
      <c r="N351" s="338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8"/>
      <c r="N352" s="338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8"/>
      <c r="N353" s="338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8"/>
      <c r="N354" s="338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3381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1"/>
      <c r="N355" s="338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3406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1"/>
      <c r="N356" s="338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3384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1"/>
      <c r="N357" s="338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8"/>
      <c r="N358" s="338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3380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1"/>
      <c r="N359" s="338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8"/>
      <c r="N360" s="338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4520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8"/>
      <c r="N361" s="338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8"/>
      <c r="N362" s="338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8"/>
      <c r="N363" s="338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8"/>
      <c r="N364" s="338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3373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49"/>
      <c r="N365" s="338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2030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8"/>
      <c r="N366" s="338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3383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1"/>
      <c r="N367" s="338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2031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8"/>
      <c r="N368" s="338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8"/>
      <c r="N369" s="338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8"/>
      <c r="N370" s="338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3382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1"/>
      <c r="N371" s="338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3389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1"/>
      <c r="N372" s="338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8"/>
      <c r="N373" s="338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8"/>
      <c r="N374" s="338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8"/>
      <c r="N375" s="338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8"/>
      <c r="N376" s="338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49"/>
      <c r="N377" s="338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3378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1"/>
      <c r="N378" s="338"/>
      <c r="O378" s="63"/>
    </row>
    <row r="379" spans="1:32" ht="15.75">
      <c r="A379" s="3" t="s">
        <v>746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8"/>
      <c r="N379" s="338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49"/>
      <c r="N380" s="338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49"/>
      <c r="N381" s="338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8"/>
      <c r="N382" s="338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3390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1"/>
      <c r="N383" s="338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49"/>
      <c r="N384" s="338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8"/>
      <c r="N385" s="338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8"/>
      <c r="N386" s="338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8"/>
      <c r="N387" s="338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3405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1"/>
      <c r="N388" s="338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8"/>
      <c r="N389" s="338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2054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8"/>
      <c r="N390" s="338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8"/>
      <c r="N391" s="338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8"/>
      <c r="N392" s="338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2056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8"/>
      <c r="N393" s="338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2161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8"/>
      <c r="N394" s="338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3385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1"/>
      <c r="N395" s="338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8"/>
      <c r="N396" s="338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3388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1"/>
      <c r="N397" s="338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2006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8"/>
      <c r="N398" s="338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3407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1"/>
      <c r="N399" s="338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49"/>
      <c r="N400" s="338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8"/>
      <c r="N401" s="338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3391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1"/>
      <c r="N402" s="338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8"/>
      <c r="N403" s="338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49"/>
      <c r="N404" s="338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8"/>
      <c r="N405" s="338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8"/>
      <c r="N406" s="338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8"/>
      <c r="N407" s="338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8"/>
      <c r="N408" s="338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2034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8"/>
      <c r="N409" s="338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1"/>
      <c r="N410" s="338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3403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1"/>
      <c r="N411" s="338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8"/>
      <c r="N412" s="338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8"/>
      <c r="N413" s="338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8"/>
      <c r="N414" s="338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3374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49"/>
      <c r="N415" s="338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2012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8"/>
      <c r="N416" s="338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0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0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0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0" ht="20.25">
      <c r="A420" s="30" t="s">
        <v>169</v>
      </c>
      <c r="D420" s="32" t="s">
        <v>40</v>
      </c>
      <c r="E420" s="110" t="s">
        <v>4156</v>
      </c>
      <c r="F420" s="110" t="s">
        <v>2292</v>
      </c>
      <c r="G420" s="110" t="s">
        <v>4579</v>
      </c>
      <c r="H420" s="110" t="s">
        <v>4581</v>
      </c>
      <c r="I420" s="110" t="s">
        <v>4583</v>
      </c>
      <c r="J420" s="110" t="s">
        <v>4587</v>
      </c>
      <c r="K420" s="110" t="s">
        <v>4591</v>
      </c>
      <c r="L420" s="110" t="s">
        <v>4798</v>
      </c>
      <c r="M420" s="110" t="s">
        <v>4799</v>
      </c>
      <c r="N420" s="110" t="s">
        <v>4800</v>
      </c>
      <c r="O420" s="110" t="s">
        <v>4817</v>
      </c>
      <c r="P420" s="110" t="s">
        <v>4938</v>
      </c>
      <c r="Q420" s="110" t="s">
        <v>4940</v>
      </c>
      <c r="R420" s="110" t="s">
        <v>4941</v>
      </c>
      <c r="S420" s="110" t="s">
        <v>4951</v>
      </c>
      <c r="T420" s="110" t="s">
        <v>5001</v>
      </c>
      <c r="U420" s="110" t="s">
        <v>5002</v>
      </c>
      <c r="V420" s="110" t="s">
        <v>5003</v>
      </c>
      <c r="W420" s="110" t="s">
        <v>5024</v>
      </c>
      <c r="X420" s="110" t="s">
        <v>5074</v>
      </c>
      <c r="Y420" s="110" t="s">
        <v>5076</v>
      </c>
      <c r="Z420" s="63"/>
      <c r="AA420" s="349"/>
      <c r="AB420" s="63"/>
      <c r="AC420" s="63"/>
    </row>
    <row r="421" spans="1:30" ht="15.75">
      <c r="A421" s="3" t="s">
        <v>3386</v>
      </c>
      <c r="B421" s="3"/>
      <c r="C421" s="3"/>
      <c r="D421" s="33">
        <f t="shared" ref="D421:D452" si="12">SUM(E421:DZ421)</f>
        <v>151.49999999999986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515">
        <v>0</v>
      </c>
      <c r="Y421" s="515">
        <v>12.100000000000001</v>
      </c>
      <c r="Z421" s="513"/>
      <c r="AA421" s="513"/>
      <c r="AB421" s="361"/>
      <c r="AC421" s="514"/>
      <c r="AD421" s="513"/>
    </row>
    <row r="422" spans="1:30" ht="15.75">
      <c r="A422" s="60" t="s">
        <v>2014</v>
      </c>
      <c r="B422" s="3"/>
      <c r="C422" s="3"/>
      <c r="D422" s="33">
        <f t="shared" si="12"/>
        <v>124.69999999999966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515">
        <v>0</v>
      </c>
      <c r="Y422" s="515">
        <v>0</v>
      </c>
      <c r="Z422" s="516"/>
      <c r="AA422" s="513"/>
      <c r="AB422" s="348"/>
      <c r="AC422" s="514"/>
      <c r="AD422" s="513"/>
    </row>
    <row r="423" spans="1:30" ht="15.75">
      <c r="A423" s="82" t="s">
        <v>1657</v>
      </c>
      <c r="B423" s="3"/>
      <c r="C423" s="3"/>
      <c r="D423" s="33">
        <f t="shared" si="12"/>
        <v>266.70000000000078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515">
        <v>0</v>
      </c>
      <c r="Y423" s="515">
        <v>16.5</v>
      </c>
      <c r="Z423" s="225"/>
      <c r="AA423" s="513"/>
      <c r="AB423" s="348"/>
      <c r="AC423" s="514"/>
      <c r="AD423" s="513"/>
    </row>
    <row r="424" spans="1:30" ht="15.75">
      <c r="A424" s="60" t="s">
        <v>2007</v>
      </c>
      <c r="B424" s="3"/>
      <c r="C424" s="3"/>
      <c r="D424" s="33">
        <f t="shared" si="12"/>
        <v>153.79999999999961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515">
        <v>0</v>
      </c>
      <c r="Y424" s="515">
        <v>0</v>
      </c>
      <c r="Z424" s="516"/>
      <c r="AA424" s="513"/>
      <c r="AB424" s="348"/>
      <c r="AC424" s="514"/>
      <c r="AD424" s="513"/>
    </row>
    <row r="425" spans="1:30" ht="15.75">
      <c r="A425" s="82" t="s">
        <v>1652</v>
      </c>
      <c r="B425" s="3"/>
      <c r="C425" s="3"/>
      <c r="D425" s="33">
        <f t="shared" si="12"/>
        <v>224.99999999999972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515">
        <v>13.8</v>
      </c>
      <c r="Y425" s="515">
        <v>0</v>
      </c>
      <c r="Z425" s="225"/>
      <c r="AA425" s="513"/>
      <c r="AB425" s="348"/>
      <c r="AC425" s="514"/>
      <c r="AD425" s="513"/>
    </row>
    <row r="426" spans="1:30" ht="15.75">
      <c r="A426" s="82" t="s">
        <v>1647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515">
        <v>0</v>
      </c>
      <c r="Y426" s="515">
        <v>0</v>
      </c>
      <c r="Z426" s="225"/>
      <c r="AA426" s="513"/>
      <c r="AB426" s="348"/>
      <c r="AC426" s="514"/>
      <c r="AD426" s="513"/>
    </row>
    <row r="427" spans="1:30" ht="15.75">
      <c r="A427" s="3" t="s">
        <v>3375</v>
      </c>
      <c r="B427" s="3"/>
      <c r="C427" s="3"/>
      <c r="D427" s="33">
        <f t="shared" si="12"/>
        <v>207.90000000000077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515">
        <v>0</v>
      </c>
      <c r="Y427" s="515">
        <v>22</v>
      </c>
      <c r="Z427" s="513"/>
      <c r="AA427" s="513"/>
      <c r="AB427" s="361"/>
      <c r="AC427" s="514"/>
      <c r="AD427" s="513"/>
    </row>
    <row r="428" spans="1:30" ht="15.75">
      <c r="A428" s="60" t="s">
        <v>1</v>
      </c>
      <c r="B428" s="3"/>
      <c r="C428" s="3"/>
      <c r="D428" s="33">
        <f t="shared" si="12"/>
        <v>103.39999999999962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515">
        <v>0</v>
      </c>
      <c r="Y428" s="515">
        <v>0</v>
      </c>
      <c r="Z428" s="516"/>
      <c r="AA428" s="513"/>
      <c r="AB428" s="348"/>
      <c r="AC428" s="514"/>
      <c r="AD428" s="513"/>
    </row>
    <row r="429" spans="1:30" ht="15.75">
      <c r="A429" s="60" t="s">
        <v>2027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515">
        <v>0</v>
      </c>
      <c r="Y429" s="515">
        <v>0</v>
      </c>
      <c r="Z429" s="516"/>
      <c r="AA429" s="513"/>
      <c r="AB429" s="348"/>
      <c r="AC429" s="514"/>
      <c r="AD429" s="513"/>
    </row>
    <row r="430" spans="1:30" ht="15.75">
      <c r="A430" s="3" t="s">
        <v>3394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515">
        <v>0</v>
      </c>
      <c r="Y430" s="515">
        <v>0</v>
      </c>
      <c r="Z430" s="513"/>
      <c r="AA430" s="513"/>
      <c r="AB430" s="361"/>
      <c r="AC430" s="514"/>
      <c r="AD430" s="513"/>
    </row>
    <row r="431" spans="1:30" ht="15.75">
      <c r="A431" s="82" t="s">
        <v>1653</v>
      </c>
      <c r="B431" s="3"/>
      <c r="C431" s="3"/>
      <c r="D431" s="33">
        <f t="shared" si="12"/>
        <v>269.39999999999992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515">
        <v>7.8000000000000007</v>
      </c>
      <c r="Y431" s="515">
        <v>30</v>
      </c>
      <c r="Z431" s="225"/>
      <c r="AA431" s="513"/>
      <c r="AB431" s="348"/>
      <c r="AC431" s="514"/>
      <c r="AD431" s="513"/>
    </row>
    <row r="432" spans="1:30" ht="15.75">
      <c r="A432" s="3" t="s">
        <v>771</v>
      </c>
      <c r="B432" s="3"/>
      <c r="C432" s="3"/>
      <c r="D432" s="33">
        <f t="shared" si="12"/>
        <v>200.69999999999976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515">
        <v>0</v>
      </c>
      <c r="Y432" s="515">
        <v>0</v>
      </c>
      <c r="Z432" s="513"/>
      <c r="AA432" s="513"/>
      <c r="AB432" s="348"/>
      <c r="AC432" s="514"/>
      <c r="AD432" s="513"/>
    </row>
    <row r="433" spans="1:30" ht="15.75">
      <c r="A433" s="60" t="s">
        <v>2057</v>
      </c>
      <c r="B433" s="3"/>
      <c r="C433" s="3"/>
      <c r="D433" s="33">
        <f t="shared" si="12"/>
        <v>206.70000000000013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515">
        <v>0</v>
      </c>
      <c r="Y433" s="515">
        <v>0</v>
      </c>
      <c r="Z433" s="516"/>
      <c r="AA433" s="513"/>
      <c r="AB433" s="348"/>
      <c r="AC433" s="514"/>
      <c r="AD433" s="513"/>
    </row>
    <row r="434" spans="1:30" ht="15.75">
      <c r="A434" s="3" t="s">
        <v>788</v>
      </c>
      <c r="B434" s="3"/>
      <c r="C434" s="3"/>
      <c r="D434" s="33">
        <f t="shared" si="12"/>
        <v>128.29999999999987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515">
        <v>0</v>
      </c>
      <c r="Y434" s="515">
        <v>0</v>
      </c>
      <c r="Z434" s="513"/>
      <c r="AA434" s="513"/>
      <c r="AB434" s="348"/>
      <c r="AC434" s="514"/>
      <c r="AD434" s="513"/>
    </row>
    <row r="435" spans="1:30" ht="15.75">
      <c r="A435" s="60" t="s">
        <v>2010</v>
      </c>
      <c r="B435" s="3"/>
      <c r="C435" s="3"/>
      <c r="D435" s="33">
        <f t="shared" si="12"/>
        <v>167.10000000000036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515">
        <v>6.6000000000000005</v>
      </c>
      <c r="Y435" s="515">
        <v>0</v>
      </c>
      <c r="Z435" s="516"/>
      <c r="AA435" s="513"/>
      <c r="AB435" s="348"/>
      <c r="AC435" s="514"/>
      <c r="AD435" s="513"/>
    </row>
    <row r="436" spans="1:30" ht="15.75">
      <c r="A436" s="3" t="s">
        <v>3376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515">
        <v>10.600000000000001</v>
      </c>
      <c r="Y436" s="515">
        <v>22</v>
      </c>
      <c r="Z436" s="513"/>
      <c r="AA436" s="513"/>
      <c r="AB436" s="361"/>
      <c r="AC436" s="514"/>
      <c r="AD436" s="513"/>
    </row>
    <row r="437" spans="1:30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515">
        <v>0</v>
      </c>
      <c r="Y437" s="515">
        <v>22</v>
      </c>
      <c r="Z437" s="513"/>
      <c r="AA437" s="513"/>
      <c r="AB437" s="348"/>
      <c r="AC437" s="514"/>
      <c r="AD437" s="513"/>
    </row>
    <row r="438" spans="1:30" ht="15.75">
      <c r="A438" s="60" t="s">
        <v>2028</v>
      </c>
      <c r="B438" s="3"/>
      <c r="C438" s="3"/>
      <c r="D438" s="33">
        <f t="shared" si="12"/>
        <v>253.79999999999973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515">
        <v>14.100000000000001</v>
      </c>
      <c r="Y438" s="515">
        <v>28</v>
      </c>
      <c r="Z438" s="516"/>
      <c r="AA438" s="513"/>
      <c r="AB438" s="348"/>
      <c r="AC438" s="514"/>
      <c r="AD438" s="513"/>
    </row>
    <row r="439" spans="1:30" ht="15.75">
      <c r="A439" s="3" t="s">
        <v>3379</v>
      </c>
      <c r="B439" s="3"/>
      <c r="C439" s="3"/>
      <c r="D439" s="33">
        <f t="shared" si="12"/>
        <v>123.39999999999985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515">
        <v>0</v>
      </c>
      <c r="Y439" s="515">
        <v>0</v>
      </c>
      <c r="Z439" s="513"/>
      <c r="AA439" s="513"/>
      <c r="AB439" s="361"/>
      <c r="AC439" s="514"/>
      <c r="AD439" s="513"/>
    </row>
    <row r="440" spans="1:30" ht="15.75">
      <c r="A440" s="3" t="s">
        <v>3393</v>
      </c>
      <c r="B440" s="3"/>
      <c r="C440" s="3"/>
      <c r="D440" s="33">
        <f t="shared" si="12"/>
        <v>102.09999999999937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515">
        <v>6.6000000000000005</v>
      </c>
      <c r="Y440" s="515">
        <v>0</v>
      </c>
      <c r="Z440" s="513"/>
      <c r="AA440" s="513"/>
      <c r="AB440" s="361"/>
      <c r="AC440" s="514"/>
      <c r="AD440" s="513"/>
    </row>
    <row r="441" spans="1:30" ht="15.75">
      <c r="A441" s="3" t="s">
        <v>9</v>
      </c>
      <c r="B441" s="3"/>
      <c r="C441" s="3"/>
      <c r="D441" s="33">
        <f t="shared" si="12"/>
        <v>176.39999999999989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515">
        <v>0</v>
      </c>
      <c r="Y441" s="515">
        <v>0</v>
      </c>
      <c r="Z441" s="516"/>
      <c r="AA441" s="513"/>
      <c r="AB441" s="349"/>
      <c r="AC441" s="514"/>
      <c r="AD441" s="513"/>
    </row>
    <row r="442" spans="1:30" ht="15.75">
      <c r="A442" s="60" t="s">
        <v>2022</v>
      </c>
      <c r="B442" s="3"/>
      <c r="C442" s="3"/>
      <c r="D442" s="33">
        <f t="shared" si="12"/>
        <v>227.19999999999979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515">
        <v>0</v>
      </c>
      <c r="Y442" s="515">
        <v>60.1</v>
      </c>
      <c r="Z442" s="516"/>
      <c r="AA442" s="513"/>
      <c r="AB442" s="348"/>
      <c r="AC442" s="514"/>
      <c r="AD442" s="513"/>
    </row>
    <row r="443" spans="1:30" ht="15.75">
      <c r="A443" s="60" t="s">
        <v>11</v>
      </c>
      <c r="B443" s="3"/>
      <c r="C443" s="3"/>
      <c r="D443" s="33">
        <f t="shared" si="12"/>
        <v>209.50000000000034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515">
        <v>18</v>
      </c>
      <c r="Y443" s="515">
        <v>13.2</v>
      </c>
      <c r="Z443" s="516"/>
      <c r="AA443" s="513"/>
      <c r="AB443" s="348"/>
      <c r="AC443" s="514"/>
      <c r="AD443" s="513"/>
    </row>
    <row r="444" spans="1:30" ht="15.75">
      <c r="A444" s="3" t="s">
        <v>3377</v>
      </c>
      <c r="B444" s="3"/>
      <c r="C444" s="3"/>
      <c r="D444" s="33">
        <f t="shared" si="12"/>
        <v>161.69999999999993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515">
        <v>0</v>
      </c>
      <c r="Y444" s="515">
        <v>0</v>
      </c>
      <c r="Z444" s="513"/>
      <c r="AA444" s="513"/>
      <c r="AB444" s="361"/>
      <c r="AC444" s="514"/>
      <c r="AD444" s="513"/>
    </row>
    <row r="445" spans="1:30" ht="15.75">
      <c r="A445" s="60" t="s">
        <v>2029</v>
      </c>
      <c r="B445" s="3"/>
      <c r="C445" s="3"/>
      <c r="D445" s="33">
        <f t="shared" si="12"/>
        <v>125.30000000000015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515">
        <v>0</v>
      </c>
      <c r="Y445" s="515">
        <v>15.399999999999999</v>
      </c>
      <c r="Z445" s="516"/>
      <c r="AA445" s="513"/>
      <c r="AB445" s="348"/>
      <c r="AC445" s="514"/>
      <c r="AD445" s="513"/>
    </row>
    <row r="446" spans="1:30" ht="15.75">
      <c r="A446" s="82" t="s">
        <v>1655</v>
      </c>
      <c r="B446" s="3"/>
      <c r="C446" s="3"/>
      <c r="D446" s="33">
        <f t="shared" si="12"/>
        <v>191.4000000000004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515">
        <v>6</v>
      </c>
      <c r="Y446" s="515">
        <v>28</v>
      </c>
      <c r="Z446" s="225"/>
      <c r="AA446" s="513"/>
      <c r="AB446" s="348"/>
      <c r="AC446" s="514"/>
      <c r="AD446" s="513"/>
    </row>
    <row r="447" spans="1:30" ht="15.75">
      <c r="A447" s="3" t="s">
        <v>728</v>
      </c>
      <c r="B447" s="3"/>
      <c r="C447" s="3"/>
      <c r="D447" s="33">
        <f t="shared" si="12"/>
        <v>278.10000000000031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515">
        <v>0</v>
      </c>
      <c r="Y447" s="515">
        <v>8.3999999999999986</v>
      </c>
      <c r="Z447" s="513"/>
      <c r="AA447" s="513"/>
      <c r="AB447" s="348"/>
      <c r="AC447" s="514"/>
      <c r="AD447" s="513"/>
    </row>
    <row r="448" spans="1:30" ht="15.75">
      <c r="A448" s="60" t="s">
        <v>2015</v>
      </c>
      <c r="B448" s="3"/>
      <c r="C448" s="3"/>
      <c r="D448" s="33">
        <f t="shared" si="12"/>
        <v>216.35000000000051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515">
        <v>12.75</v>
      </c>
      <c r="Y448" s="515">
        <v>12.100000000000001</v>
      </c>
      <c r="Z448" s="516"/>
      <c r="AA448" s="513"/>
      <c r="AB448" s="348"/>
      <c r="AC448" s="514"/>
      <c r="AD448" s="513"/>
    </row>
    <row r="449" spans="1:30" ht="15.75">
      <c r="A449" s="3" t="s">
        <v>3387</v>
      </c>
      <c r="B449" s="3"/>
      <c r="C449" s="3"/>
      <c r="D449" s="33">
        <f t="shared" si="12"/>
        <v>189.49999999999937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515">
        <v>0</v>
      </c>
      <c r="Y449" s="515">
        <v>0</v>
      </c>
      <c r="Z449" s="513"/>
      <c r="AA449" s="513"/>
      <c r="AB449" s="361"/>
      <c r="AC449" s="514"/>
      <c r="AD449" s="513"/>
    </row>
    <row r="450" spans="1:30" ht="15.75">
      <c r="A450" s="3" t="s">
        <v>783</v>
      </c>
      <c r="B450" s="3"/>
      <c r="C450" s="3"/>
      <c r="D450" s="33">
        <f t="shared" si="12"/>
        <v>220.39999999999966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515">
        <v>0</v>
      </c>
      <c r="Y450" s="515">
        <v>0</v>
      </c>
      <c r="Z450" s="516"/>
      <c r="AA450" s="513"/>
      <c r="AB450" s="349"/>
      <c r="AC450" s="514"/>
      <c r="AD450" s="513"/>
    </row>
    <row r="451" spans="1:30" ht="15.75">
      <c r="A451" s="60" t="s">
        <v>13</v>
      </c>
      <c r="B451" s="3"/>
      <c r="C451" s="3"/>
      <c r="D451" s="33">
        <f t="shared" si="12"/>
        <v>99.499999999999901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515">
        <v>0</v>
      </c>
      <c r="Y451" s="515">
        <v>13.2</v>
      </c>
      <c r="Z451" s="516"/>
      <c r="AA451" s="513"/>
      <c r="AB451" s="349"/>
      <c r="AC451" s="514"/>
      <c r="AD451" s="513"/>
    </row>
    <row r="452" spans="1:30" ht="15.75">
      <c r="A452" s="3" t="s">
        <v>734</v>
      </c>
      <c r="B452" s="3"/>
      <c r="C452" s="3"/>
      <c r="D452" s="33">
        <f t="shared" si="12"/>
        <v>132.09999999999991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515">
        <v>0</v>
      </c>
      <c r="Y452" s="515">
        <v>28</v>
      </c>
      <c r="Z452" s="513"/>
      <c r="AA452" s="513"/>
      <c r="AB452" s="348"/>
      <c r="AC452" s="514"/>
      <c r="AD452" s="513"/>
    </row>
    <row r="453" spans="1:30" ht="15.75">
      <c r="A453" s="60" t="s">
        <v>15</v>
      </c>
      <c r="B453" s="3"/>
      <c r="C453" s="3"/>
      <c r="D453" s="33">
        <f t="shared" ref="D453:D484" si="13">SUM(E453:DZ453)</f>
        <v>145.70000000000002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515">
        <v>0</v>
      </c>
      <c r="Y453" s="515">
        <v>0</v>
      </c>
      <c r="Z453" s="516"/>
      <c r="AA453" s="513"/>
      <c r="AB453" s="348"/>
      <c r="AC453" s="514"/>
      <c r="AD453" s="513"/>
    </row>
    <row r="454" spans="1:30" ht="15.75">
      <c r="A454" s="3" t="s">
        <v>3402</v>
      </c>
      <c r="B454" s="3"/>
      <c r="C454" s="3"/>
      <c r="D454" s="33">
        <f t="shared" si="13"/>
        <v>178.4999999999996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515">
        <v>0</v>
      </c>
      <c r="Y454" s="515">
        <v>0</v>
      </c>
      <c r="Z454" s="513"/>
      <c r="AA454" s="513"/>
      <c r="AB454" s="361"/>
      <c r="AC454" s="514"/>
      <c r="AD454" s="513"/>
    </row>
    <row r="455" spans="1:30" ht="15.75">
      <c r="A455" s="60" t="s">
        <v>2011</v>
      </c>
      <c r="B455" s="3"/>
      <c r="C455" s="3"/>
      <c r="D455" s="33">
        <f t="shared" si="13"/>
        <v>228.40000000000128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515">
        <v>0</v>
      </c>
      <c r="Y455" s="515">
        <v>26</v>
      </c>
      <c r="Z455" s="516"/>
      <c r="AA455" s="513"/>
      <c r="AB455" s="349"/>
      <c r="AC455" s="514"/>
      <c r="AD455" s="513"/>
    </row>
    <row r="456" spans="1:30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515">
        <v>0</v>
      </c>
      <c r="Y456" s="515">
        <v>16.5</v>
      </c>
      <c r="Z456" s="516"/>
      <c r="AA456" s="513"/>
      <c r="AB456" s="348"/>
      <c r="AC456" s="514"/>
      <c r="AD456" s="513"/>
    </row>
    <row r="457" spans="1:30" ht="15.75">
      <c r="A457" s="3" t="s">
        <v>757</v>
      </c>
      <c r="B457" s="3"/>
      <c r="C457" s="3"/>
      <c r="D457" s="33">
        <f t="shared" si="13"/>
        <v>156.50000000000011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515">
        <v>0</v>
      </c>
      <c r="Y457" s="515">
        <v>15.399999999999999</v>
      </c>
      <c r="Z457" s="513"/>
      <c r="AA457" s="513"/>
      <c r="AB457" s="348"/>
      <c r="AC457" s="514"/>
      <c r="AD457" s="513"/>
    </row>
    <row r="458" spans="1:30" ht="15.75">
      <c r="A458" s="3" t="s">
        <v>162</v>
      </c>
      <c r="B458" s="3"/>
      <c r="C458" s="3"/>
      <c r="D458" s="33">
        <f t="shared" si="13"/>
        <v>177.69999999999951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515">
        <v>19.100000000000001</v>
      </c>
      <c r="Y458" s="515">
        <v>16.5</v>
      </c>
      <c r="Z458" s="513"/>
      <c r="AA458" s="513"/>
      <c r="AB458" s="348"/>
      <c r="AC458" s="514"/>
      <c r="AD458" s="513"/>
    </row>
    <row r="459" spans="1:30" ht="15.75">
      <c r="A459" s="3" t="s">
        <v>3381</v>
      </c>
      <c r="B459" s="3"/>
      <c r="C459" s="3"/>
      <c r="D459" s="33">
        <f t="shared" si="13"/>
        <v>199.1999999999997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515">
        <v>0</v>
      </c>
      <c r="Y459" s="515">
        <v>0</v>
      </c>
      <c r="Z459" s="513"/>
      <c r="AA459" s="513"/>
      <c r="AB459" s="361"/>
      <c r="AC459" s="514"/>
      <c r="AD459" s="513"/>
    </row>
    <row r="460" spans="1:30" ht="15.75">
      <c r="A460" s="3" t="s">
        <v>3406</v>
      </c>
      <c r="B460" s="3"/>
      <c r="C460" s="3"/>
      <c r="D460" s="33">
        <f t="shared" si="13"/>
        <v>171.00000000000068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515">
        <v>9</v>
      </c>
      <c r="Y460" s="515">
        <v>13.2</v>
      </c>
      <c r="Z460" s="513"/>
      <c r="AA460" s="513"/>
      <c r="AB460" s="361"/>
      <c r="AC460" s="514"/>
      <c r="AD460" s="513"/>
    </row>
    <row r="461" spans="1:30" ht="15.75">
      <c r="A461" s="3" t="s">
        <v>3384</v>
      </c>
      <c r="B461" s="3"/>
      <c r="C461" s="3"/>
      <c r="D461" s="33">
        <f t="shared" si="13"/>
        <v>169.49999999999983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515">
        <v>18.7</v>
      </c>
      <c r="Y461" s="515">
        <v>0</v>
      </c>
      <c r="Z461" s="513"/>
      <c r="AA461" s="513"/>
      <c r="AB461" s="361"/>
      <c r="AC461" s="514"/>
      <c r="AD461" s="513"/>
    </row>
    <row r="462" spans="1:30" ht="15.75">
      <c r="A462" s="82" t="s">
        <v>1643</v>
      </c>
      <c r="B462" s="3"/>
      <c r="C462" s="3"/>
      <c r="D462" s="33">
        <f t="shared" si="13"/>
        <v>250.49999999999937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515">
        <v>0</v>
      </c>
      <c r="Y462" s="515">
        <v>51.2</v>
      </c>
      <c r="Z462" s="225"/>
      <c r="AA462" s="513"/>
      <c r="AB462" s="348"/>
      <c r="AC462" s="514"/>
      <c r="AD462" s="513"/>
    </row>
    <row r="463" spans="1:30" ht="15.75">
      <c r="A463" s="3" t="s">
        <v>3380</v>
      </c>
      <c r="B463" s="3"/>
      <c r="C463" s="3"/>
      <c r="D463" s="33">
        <f t="shared" si="13"/>
        <v>149.89999999999941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515">
        <v>0</v>
      </c>
      <c r="Y463" s="515">
        <v>0</v>
      </c>
      <c r="Z463" s="513"/>
      <c r="AA463" s="513"/>
      <c r="AB463" s="361"/>
      <c r="AC463" s="514"/>
      <c r="AD463" s="513"/>
    </row>
    <row r="464" spans="1:30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515">
        <v>0</v>
      </c>
      <c r="Y464" s="515">
        <v>14.3</v>
      </c>
      <c r="Z464" s="516"/>
      <c r="AA464" s="513"/>
      <c r="AB464" s="348"/>
      <c r="AC464" s="514"/>
      <c r="AD464" s="513"/>
    </row>
    <row r="465" spans="1:30" ht="15.75">
      <c r="A465" s="60" t="s">
        <v>4520</v>
      </c>
      <c r="B465" s="3"/>
      <c r="C465" s="3"/>
      <c r="D465" s="33">
        <f t="shared" si="13"/>
        <v>277.29999999999973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515">
        <v>0</v>
      </c>
      <c r="Y465" s="515">
        <v>26</v>
      </c>
      <c r="Z465" s="516"/>
      <c r="AA465" s="513"/>
      <c r="AB465" s="348"/>
      <c r="AC465" s="514"/>
      <c r="AD465" s="513"/>
    </row>
    <row r="466" spans="1:30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515">
        <v>0</v>
      </c>
      <c r="Y466" s="515">
        <v>12.100000000000001</v>
      </c>
      <c r="Z466" s="513"/>
      <c r="AA466" s="513"/>
      <c r="AB466" s="348"/>
      <c r="AC466" s="514"/>
      <c r="AD466" s="513"/>
    </row>
    <row r="467" spans="1:30" ht="15.75">
      <c r="A467" t="s">
        <v>21</v>
      </c>
      <c r="B467" s="3"/>
      <c r="C467" s="3"/>
      <c r="D467" s="33">
        <f t="shared" si="13"/>
        <v>216.89999999999932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515">
        <v>21</v>
      </c>
      <c r="Y467" s="515">
        <v>0</v>
      </c>
      <c r="Z467" s="513"/>
      <c r="AA467" s="513"/>
      <c r="AB467" s="348"/>
      <c r="AC467" s="514"/>
      <c r="AD467" s="513"/>
    </row>
    <row r="468" spans="1:30" ht="15.75">
      <c r="A468" s="3" t="s">
        <v>141</v>
      </c>
      <c r="B468" s="3"/>
      <c r="C468" s="3"/>
      <c r="D468" s="33">
        <f t="shared" si="13"/>
        <v>205.00000000000051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515">
        <v>0</v>
      </c>
      <c r="Y468" s="515">
        <v>30</v>
      </c>
      <c r="Z468" s="513"/>
      <c r="AA468" s="513"/>
      <c r="AB468" s="348"/>
      <c r="AC468" s="514"/>
      <c r="AD468" s="513"/>
    </row>
    <row r="469" spans="1:30" ht="15.75">
      <c r="A469" s="60" t="s">
        <v>3373</v>
      </c>
      <c r="B469" s="3"/>
      <c r="C469" s="3"/>
      <c r="D469" s="33">
        <f t="shared" si="13"/>
        <v>153.1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515">
        <v>0</v>
      </c>
      <c r="Y469" s="515">
        <v>0</v>
      </c>
      <c r="Z469" s="516"/>
      <c r="AA469" s="513"/>
      <c r="AB469" s="349"/>
      <c r="AC469" s="514"/>
      <c r="AD469" s="513"/>
    </row>
    <row r="470" spans="1:30" ht="15.75">
      <c r="A470" s="60" t="s">
        <v>2030</v>
      </c>
      <c r="B470" s="3"/>
      <c r="C470" s="3"/>
      <c r="D470" s="33">
        <f t="shared" si="13"/>
        <v>138.39999999999989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515">
        <v>7.5</v>
      </c>
      <c r="Y470" s="515">
        <v>0</v>
      </c>
      <c r="Z470" s="516"/>
      <c r="AA470" s="513"/>
      <c r="AB470" s="348"/>
      <c r="AC470" s="514"/>
      <c r="AD470" s="513"/>
    </row>
    <row r="471" spans="1:30" ht="15.75">
      <c r="A471" s="3" t="s">
        <v>3383</v>
      </c>
      <c r="B471" s="3"/>
      <c r="C471" s="3"/>
      <c r="D471" s="33">
        <f t="shared" si="13"/>
        <v>198.59999999999903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515">
        <v>6.5</v>
      </c>
      <c r="Y471" s="515">
        <v>0</v>
      </c>
      <c r="Z471" s="513"/>
      <c r="AA471" s="513"/>
      <c r="AB471" s="361"/>
      <c r="AC471" s="514"/>
      <c r="AD471" s="513"/>
    </row>
    <row r="472" spans="1:30" ht="15.75">
      <c r="A472" s="60" t="s">
        <v>2031</v>
      </c>
      <c r="B472" s="3"/>
      <c r="C472" s="3"/>
      <c r="D472" s="33">
        <f t="shared" si="13"/>
        <v>284.89999999999918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515">
        <v>0</v>
      </c>
      <c r="Y472" s="515">
        <v>36.299999999999997</v>
      </c>
      <c r="Z472" s="516"/>
      <c r="AA472" s="513"/>
      <c r="AB472" s="348"/>
      <c r="AC472" s="514"/>
      <c r="AD472" s="513"/>
    </row>
    <row r="473" spans="1:30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515">
        <v>0</v>
      </c>
      <c r="Y473" s="515">
        <v>9.6</v>
      </c>
      <c r="Z473" s="225"/>
      <c r="AA473" s="513"/>
      <c r="AB473" s="348"/>
      <c r="AC473" s="514"/>
      <c r="AD473" s="513"/>
    </row>
    <row r="474" spans="1:30" ht="15.75">
      <c r="A474" s="3" t="s">
        <v>762</v>
      </c>
      <c r="B474" s="3"/>
      <c r="C474" s="3"/>
      <c r="D474" s="33">
        <f t="shared" si="13"/>
        <v>248.60000000000099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515">
        <v>16.5</v>
      </c>
      <c r="Y474" s="515">
        <v>39.200000000000003</v>
      </c>
      <c r="Z474" s="513"/>
      <c r="AA474" s="513"/>
      <c r="AB474" s="348"/>
      <c r="AC474" s="514"/>
      <c r="AD474" s="513"/>
    </row>
    <row r="475" spans="1:30" ht="15.75">
      <c r="A475" s="3" t="s">
        <v>3382</v>
      </c>
      <c r="B475" s="3"/>
      <c r="C475" s="3"/>
      <c r="D475" s="33">
        <f t="shared" si="13"/>
        <v>213.80000000000047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515">
        <v>0</v>
      </c>
      <c r="Y475" s="515">
        <v>14.3</v>
      </c>
      <c r="Z475" s="513"/>
      <c r="AA475" s="513"/>
      <c r="AB475" s="361"/>
      <c r="AC475" s="514"/>
      <c r="AD475" s="513"/>
    </row>
    <row r="476" spans="1:30" ht="15.75">
      <c r="A476" s="3" t="s">
        <v>3389</v>
      </c>
      <c r="B476" s="3"/>
      <c r="C476" s="3"/>
      <c r="D476" s="33">
        <f t="shared" si="13"/>
        <v>109.59999999999997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515">
        <v>9</v>
      </c>
      <c r="Y476" s="515">
        <v>16.5</v>
      </c>
      <c r="Z476" s="513"/>
      <c r="AA476" s="513"/>
      <c r="AB476" s="361"/>
      <c r="AC476" s="514"/>
      <c r="AD476" s="513"/>
    </row>
    <row r="477" spans="1:30" ht="15.75">
      <c r="A477" s="3" t="s">
        <v>763</v>
      </c>
      <c r="B477" s="3"/>
      <c r="C477" s="3"/>
      <c r="D477" s="33">
        <f t="shared" si="13"/>
        <v>176.50000000000011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515">
        <v>22.5</v>
      </c>
      <c r="Y477" s="515">
        <v>31.6</v>
      </c>
      <c r="Z477" s="513"/>
      <c r="AA477" s="513"/>
      <c r="AB477" s="348"/>
      <c r="AC477" s="514"/>
      <c r="AD477" s="513"/>
    </row>
    <row r="478" spans="1:30" ht="15.75">
      <c r="A478" s="60" t="s">
        <v>23</v>
      </c>
      <c r="B478" s="3"/>
      <c r="C478" s="3"/>
      <c r="D478" s="33">
        <f t="shared" si="13"/>
        <v>210.49999999999901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515">
        <v>0</v>
      </c>
      <c r="Y478" s="515">
        <v>16</v>
      </c>
      <c r="Z478" s="516"/>
      <c r="AA478" s="513"/>
      <c r="AB478" s="348"/>
      <c r="AC478" s="514"/>
      <c r="AD478" s="513"/>
    </row>
    <row r="479" spans="1:30" ht="15.75">
      <c r="A479" s="60" t="s">
        <v>25</v>
      </c>
      <c r="B479" s="3"/>
      <c r="C479" s="3"/>
      <c r="D479" s="33">
        <f t="shared" si="13"/>
        <v>252.2000000000001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515">
        <v>0</v>
      </c>
      <c r="Y479" s="515">
        <v>39.4</v>
      </c>
      <c r="Z479" s="513"/>
      <c r="AA479" s="513"/>
      <c r="AB479" s="348"/>
      <c r="AC479" s="514"/>
      <c r="AD479" s="513"/>
    </row>
    <row r="480" spans="1:30" ht="15.75">
      <c r="A480" s="82" t="s">
        <v>1654</v>
      </c>
      <c r="B480" s="3"/>
      <c r="C480" s="3"/>
      <c r="D480" s="33">
        <f t="shared" si="13"/>
        <v>198.99999999999972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515">
        <v>0</v>
      </c>
      <c r="Y480" s="515">
        <v>0</v>
      </c>
      <c r="Z480" s="225"/>
      <c r="AA480" s="513"/>
      <c r="AB480" s="348"/>
      <c r="AC480" s="514"/>
      <c r="AD480" s="513"/>
    </row>
    <row r="481" spans="1:30" ht="15.75">
      <c r="A481" s="82" t="s">
        <v>1656</v>
      </c>
      <c r="B481" s="3"/>
      <c r="C481" s="3"/>
      <c r="D481" s="33">
        <f t="shared" si="13"/>
        <v>332.19999999999942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515">
        <v>9</v>
      </c>
      <c r="Y481" s="515">
        <v>16.5</v>
      </c>
      <c r="Z481" s="225"/>
      <c r="AA481" s="513"/>
      <c r="AB481" s="349"/>
      <c r="AC481" s="514"/>
      <c r="AD481" s="513"/>
    </row>
    <row r="482" spans="1:30" ht="15.75">
      <c r="A482" s="3" t="s">
        <v>3378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515">
        <v>0</v>
      </c>
      <c r="Y482" s="515">
        <v>0</v>
      </c>
      <c r="Z482" s="513"/>
      <c r="AA482" s="513"/>
      <c r="AB482" s="361"/>
      <c r="AC482" s="514"/>
      <c r="AD482" s="513"/>
    </row>
    <row r="483" spans="1:30" ht="15.75">
      <c r="A483" s="3" t="s">
        <v>746</v>
      </c>
      <c r="B483" s="3"/>
      <c r="C483" s="3"/>
      <c r="D483" s="33">
        <f t="shared" si="13"/>
        <v>123.00000000000011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515">
        <v>18</v>
      </c>
      <c r="Y483" s="515">
        <v>0</v>
      </c>
      <c r="Z483" s="513"/>
      <c r="AA483" s="513"/>
      <c r="AB483" s="348"/>
      <c r="AC483" s="514"/>
      <c r="AD483" s="513"/>
    </row>
    <row r="484" spans="1:30" ht="15.75">
      <c r="A484" s="60" t="s">
        <v>27</v>
      </c>
      <c r="B484" s="3"/>
      <c r="C484" s="3"/>
      <c r="D484" s="33">
        <f t="shared" si="13"/>
        <v>116.70000000000002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515">
        <v>0</v>
      </c>
      <c r="Y484" s="515">
        <v>15.399999999999999</v>
      </c>
      <c r="Z484" s="516"/>
      <c r="AA484" s="513"/>
      <c r="AB484" s="349"/>
      <c r="AC484" s="514"/>
      <c r="AD484" s="513"/>
    </row>
    <row r="485" spans="1:30" ht="15.75">
      <c r="A485" s="3" t="s">
        <v>778</v>
      </c>
      <c r="B485" s="3"/>
      <c r="C485" s="3"/>
      <c r="D485" s="33">
        <f t="shared" ref="D485:D516" si="14">SUM(E485:DZ485)</f>
        <v>216.09999999999968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515">
        <v>19.5</v>
      </c>
      <c r="Y485" s="515">
        <v>43.2</v>
      </c>
      <c r="Z485" s="513"/>
      <c r="AA485" s="513"/>
      <c r="AB485" s="349"/>
      <c r="AC485" s="514"/>
      <c r="AD485" s="513"/>
    </row>
    <row r="486" spans="1:30" ht="15.75">
      <c r="A486" s="3" t="s">
        <v>154</v>
      </c>
      <c r="B486" s="3"/>
      <c r="C486" s="3"/>
      <c r="D486" s="33">
        <f t="shared" si="14"/>
        <v>235.70000000000036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515">
        <v>0</v>
      </c>
      <c r="Y486" s="515">
        <v>39.4</v>
      </c>
      <c r="Z486" s="516"/>
      <c r="AA486" s="513"/>
      <c r="AB486" s="348"/>
      <c r="AC486" s="514"/>
      <c r="AD486" s="513"/>
    </row>
    <row r="487" spans="1:30" ht="15.75">
      <c r="A487" s="3" t="s">
        <v>3390</v>
      </c>
      <c r="B487" s="3"/>
      <c r="C487" s="3"/>
      <c r="D487" s="33">
        <f t="shared" si="14"/>
        <v>371.00000000000023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515">
        <v>0</v>
      </c>
      <c r="Y487" s="515">
        <v>34.1</v>
      </c>
      <c r="Z487" s="513"/>
      <c r="AA487" s="513"/>
      <c r="AB487" s="361"/>
      <c r="AC487" s="514"/>
      <c r="AD487" s="513"/>
    </row>
    <row r="488" spans="1:30" ht="15.75">
      <c r="A488" s="3" t="s">
        <v>764</v>
      </c>
      <c r="B488" s="3"/>
      <c r="C488" s="3"/>
      <c r="D488" s="33">
        <f t="shared" si="14"/>
        <v>127.10000000000001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515">
        <v>16.5</v>
      </c>
      <c r="Y488" s="515">
        <v>0</v>
      </c>
      <c r="Z488" s="513"/>
      <c r="AA488" s="513"/>
      <c r="AB488" s="349"/>
      <c r="AC488" s="514"/>
      <c r="AD488" s="513"/>
    </row>
    <row r="489" spans="1:30" ht="15.75">
      <c r="A489" t="s">
        <v>142</v>
      </c>
      <c r="B489" s="3"/>
      <c r="C489" s="3"/>
      <c r="D489" s="33">
        <f t="shared" si="14"/>
        <v>166.7999999999995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515">
        <v>0</v>
      </c>
      <c r="Y489" s="515">
        <v>0</v>
      </c>
      <c r="Z489" s="513"/>
      <c r="AA489" s="513"/>
      <c r="AB489" s="348"/>
      <c r="AC489" s="514"/>
      <c r="AD489" s="513"/>
    </row>
    <row r="490" spans="1:30" ht="15.75">
      <c r="A490" s="3" t="s">
        <v>738</v>
      </c>
      <c r="B490" s="3"/>
      <c r="C490" s="3"/>
      <c r="D490" s="33">
        <f t="shared" si="14"/>
        <v>217.4000000000002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515">
        <v>6.6000000000000005</v>
      </c>
      <c r="Y490" s="515">
        <v>15.399999999999999</v>
      </c>
      <c r="Z490" s="513"/>
      <c r="AA490" s="513"/>
      <c r="AB490" s="348"/>
      <c r="AC490" s="514"/>
      <c r="AD490" s="513"/>
    </row>
    <row r="491" spans="1:30" ht="15.75">
      <c r="A491" s="82" t="s">
        <v>1660</v>
      </c>
      <c r="B491" s="3"/>
      <c r="C491" s="3"/>
      <c r="D491" s="33">
        <f t="shared" si="14"/>
        <v>161.79999999999882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515">
        <v>6.6000000000000005</v>
      </c>
      <c r="Y491" s="515">
        <v>0</v>
      </c>
      <c r="Z491" s="225"/>
      <c r="AA491" s="513"/>
      <c r="AB491" s="348"/>
      <c r="AC491" s="514"/>
      <c r="AD491" s="513"/>
    </row>
    <row r="492" spans="1:30" ht="15.75">
      <c r="A492" s="3" t="s">
        <v>3405</v>
      </c>
      <c r="B492" s="3"/>
      <c r="C492" s="3"/>
      <c r="D492" s="33">
        <f t="shared" si="14"/>
        <v>100.2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515">
        <v>0</v>
      </c>
      <c r="Y492" s="515">
        <v>0</v>
      </c>
      <c r="Z492" s="513"/>
      <c r="AA492" s="513"/>
      <c r="AB492" s="361"/>
      <c r="AC492" s="514"/>
      <c r="AD492" s="513"/>
    </row>
    <row r="493" spans="1:30" ht="15.75">
      <c r="A493" s="3" t="s">
        <v>779</v>
      </c>
      <c r="B493" s="3"/>
      <c r="C493" s="3"/>
      <c r="D493" s="33">
        <f t="shared" si="14"/>
        <v>150.90000000000072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515">
        <v>5.5</v>
      </c>
      <c r="Y493" s="515">
        <v>0</v>
      </c>
      <c r="Z493" s="516"/>
      <c r="AA493" s="513"/>
      <c r="AB493" s="348"/>
      <c r="AC493" s="514"/>
      <c r="AD493" s="513"/>
    </row>
    <row r="494" spans="1:30" ht="15.75">
      <c r="A494" s="60" t="s">
        <v>2054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515">
        <v>0</v>
      </c>
      <c r="Y494" s="515">
        <v>0</v>
      </c>
      <c r="Z494" s="516"/>
      <c r="AA494" s="513"/>
      <c r="AB494" s="348"/>
      <c r="AC494" s="514"/>
      <c r="AD494" s="513"/>
    </row>
    <row r="495" spans="1:30" ht="15.75">
      <c r="A495" s="3" t="s">
        <v>749</v>
      </c>
      <c r="B495" s="3"/>
      <c r="C495" s="3"/>
      <c r="D495" s="33">
        <f t="shared" si="14"/>
        <v>275.79999999999961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515">
        <v>6</v>
      </c>
      <c r="Y495" s="515">
        <v>40.299999999999997</v>
      </c>
      <c r="Z495" s="513"/>
      <c r="AA495" s="513"/>
      <c r="AB495" s="348"/>
      <c r="AC495" s="514"/>
      <c r="AD495" s="513"/>
    </row>
    <row r="496" spans="1:30" ht="15.75">
      <c r="A496" s="3" t="s">
        <v>748</v>
      </c>
      <c r="B496" s="3"/>
      <c r="C496" s="3"/>
      <c r="D496" s="33">
        <f t="shared" si="14"/>
        <v>106.29999999999997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515">
        <v>3</v>
      </c>
      <c r="Y496" s="515">
        <v>0</v>
      </c>
      <c r="Z496" s="513"/>
      <c r="AA496" s="513"/>
      <c r="AB496" s="348"/>
      <c r="AC496" s="514"/>
      <c r="AD496" s="513"/>
    </row>
    <row r="497" spans="1:30" ht="15.75">
      <c r="A497" s="60" t="s">
        <v>2056</v>
      </c>
      <c r="B497" s="3"/>
      <c r="C497" s="3"/>
      <c r="D497" s="33">
        <f t="shared" si="14"/>
        <v>146.7000000000001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515">
        <v>0</v>
      </c>
      <c r="Y497" s="515">
        <v>0</v>
      </c>
      <c r="Z497" s="516"/>
      <c r="AA497" s="513"/>
      <c r="AB497" s="348"/>
      <c r="AC497" s="514"/>
      <c r="AD497" s="513"/>
    </row>
    <row r="498" spans="1:30" ht="15.75">
      <c r="A498" s="60" t="s">
        <v>2161</v>
      </c>
      <c r="B498" s="3"/>
      <c r="C498" s="3"/>
      <c r="D498" s="33">
        <f t="shared" si="14"/>
        <v>199.39999999999966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515">
        <v>24.3</v>
      </c>
      <c r="Y498" s="515">
        <v>0</v>
      </c>
      <c r="Z498" s="516"/>
      <c r="AA498" s="513"/>
      <c r="AB498" s="348"/>
      <c r="AC498" s="514"/>
      <c r="AD498" s="513"/>
    </row>
    <row r="499" spans="1:30" ht="15.75">
      <c r="A499" s="3" t="s">
        <v>3385</v>
      </c>
      <c r="B499" s="3"/>
      <c r="C499" s="3"/>
      <c r="D499" s="33">
        <f t="shared" si="14"/>
        <v>186.00000000000057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515">
        <v>0</v>
      </c>
      <c r="Y499" s="515">
        <v>24</v>
      </c>
      <c r="Z499" s="513"/>
      <c r="AA499" s="513"/>
      <c r="AB499" s="361"/>
      <c r="AC499" s="514"/>
      <c r="AD499" s="513"/>
    </row>
    <row r="500" spans="1:30" ht="15.75">
      <c r="A500" s="3" t="s">
        <v>733</v>
      </c>
      <c r="B500" s="3"/>
      <c r="C500" s="3"/>
      <c r="D500" s="33">
        <f t="shared" si="14"/>
        <v>182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515">
        <v>7.8000000000000007</v>
      </c>
      <c r="Y500" s="515">
        <v>41.2</v>
      </c>
      <c r="Z500" s="513"/>
      <c r="AA500" s="513"/>
      <c r="AB500" s="348"/>
      <c r="AC500" s="514"/>
      <c r="AD500" s="513"/>
    </row>
    <row r="501" spans="1:30" ht="15.75">
      <c r="A501" s="3" t="s">
        <v>3388</v>
      </c>
      <c r="B501" s="3"/>
      <c r="C501" s="3"/>
      <c r="D501" s="33">
        <f t="shared" si="14"/>
        <v>134.10000000000014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515">
        <v>0</v>
      </c>
      <c r="Y501" s="515">
        <v>0</v>
      </c>
      <c r="Z501" s="513"/>
      <c r="AA501" s="513"/>
      <c r="AB501" s="361"/>
      <c r="AC501" s="514"/>
      <c r="AD501" s="513"/>
    </row>
    <row r="502" spans="1:30" ht="15.75">
      <c r="A502" s="60" t="s">
        <v>2006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515">
        <v>0</v>
      </c>
      <c r="Y502" s="515">
        <v>13.2</v>
      </c>
      <c r="Z502" s="516"/>
      <c r="AA502" s="513"/>
      <c r="AB502" s="348"/>
      <c r="AC502" s="514"/>
      <c r="AD502" s="513"/>
    </row>
    <row r="503" spans="1:30" ht="15.75">
      <c r="A503" s="3" t="s">
        <v>3407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515">
        <v>0</v>
      </c>
      <c r="Y503" s="515">
        <v>0</v>
      </c>
      <c r="Z503" s="513"/>
      <c r="AA503" s="513"/>
      <c r="AB503" s="361"/>
      <c r="AC503" s="514"/>
      <c r="AD503" s="513"/>
    </row>
    <row r="504" spans="1:30" ht="15.75">
      <c r="A504" s="60" t="s">
        <v>31</v>
      </c>
      <c r="B504" s="3"/>
      <c r="C504" s="3"/>
      <c r="D504" s="33">
        <f t="shared" si="14"/>
        <v>188.44999999999956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515">
        <v>0</v>
      </c>
      <c r="Y504" s="515">
        <v>0</v>
      </c>
      <c r="Z504" s="516"/>
      <c r="AA504" s="513"/>
      <c r="AB504" s="349"/>
      <c r="AC504" s="514"/>
      <c r="AD504" s="513"/>
    </row>
    <row r="505" spans="1:30" ht="15.75">
      <c r="A505" s="3" t="s">
        <v>790</v>
      </c>
      <c r="B505" s="3"/>
      <c r="C505" s="3"/>
      <c r="D505" s="33">
        <f t="shared" si="14"/>
        <v>367.59999999999906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515">
        <v>6</v>
      </c>
      <c r="Y505" s="515">
        <v>22</v>
      </c>
      <c r="Z505" s="513"/>
      <c r="AA505" s="513"/>
      <c r="AB505" s="348"/>
      <c r="AC505" s="514"/>
      <c r="AD505" s="513"/>
    </row>
    <row r="506" spans="1:30" ht="15.75">
      <c r="A506" s="3" t="s">
        <v>3391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515">
        <v>2.6</v>
      </c>
      <c r="Y506" s="515">
        <v>0</v>
      </c>
      <c r="Z506" s="513"/>
      <c r="AA506" s="513"/>
      <c r="AB506" s="361"/>
      <c r="AC506" s="514"/>
      <c r="AD506" s="513"/>
    </row>
    <row r="507" spans="1:30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515">
        <v>0</v>
      </c>
      <c r="Y507" s="515">
        <v>0</v>
      </c>
      <c r="Z507" s="513"/>
      <c r="AA507" s="513"/>
      <c r="AB507" s="348"/>
      <c r="AC507" s="514"/>
      <c r="AD507" s="513"/>
    </row>
    <row r="508" spans="1:30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515">
        <v>0</v>
      </c>
      <c r="Y508" s="515">
        <v>0</v>
      </c>
      <c r="Z508" s="513"/>
      <c r="AA508" s="513"/>
      <c r="AB508" s="349"/>
      <c r="AC508" s="514"/>
      <c r="AD508" s="513"/>
    </row>
    <row r="509" spans="1:30" ht="15.75">
      <c r="A509" s="60" t="s">
        <v>33</v>
      </c>
      <c r="B509" s="3"/>
      <c r="C509" s="3"/>
      <c r="D509" s="33">
        <f t="shared" si="14"/>
        <v>283.10000000000008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515">
        <v>18</v>
      </c>
      <c r="Y509" s="515">
        <v>18</v>
      </c>
      <c r="Z509" s="513"/>
      <c r="AA509" s="513"/>
      <c r="AB509" s="348"/>
      <c r="AC509" s="514"/>
      <c r="AD509" s="513"/>
    </row>
    <row r="510" spans="1:30" ht="15.75">
      <c r="A510" s="60" t="s">
        <v>37</v>
      </c>
      <c r="B510" s="3"/>
      <c r="C510" s="3"/>
      <c r="D510" s="33">
        <f t="shared" si="14"/>
        <v>221.80000000000132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515">
        <v>0</v>
      </c>
      <c r="Y510" s="515">
        <v>6.6000000000000005</v>
      </c>
      <c r="Z510" s="517"/>
      <c r="AA510" s="513"/>
      <c r="AB510" s="348"/>
      <c r="AC510" s="514"/>
      <c r="AD510" s="513"/>
    </row>
    <row r="511" spans="1:30" ht="15.75">
      <c r="A511" t="s">
        <v>143</v>
      </c>
      <c r="B511" s="3"/>
      <c r="C511" s="3"/>
      <c r="D511" s="33">
        <f t="shared" si="14"/>
        <v>288.49999999999869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515">
        <v>0</v>
      </c>
      <c r="Y511" s="515">
        <v>14.3</v>
      </c>
      <c r="Z511" s="516"/>
      <c r="AA511" s="513"/>
      <c r="AB511" s="348"/>
      <c r="AC511" s="514"/>
      <c r="AD511" s="513"/>
    </row>
    <row r="512" spans="1:30" ht="15.75">
      <c r="A512" s="82" t="s">
        <v>1662</v>
      </c>
      <c r="B512" s="3"/>
      <c r="C512" s="3"/>
      <c r="D512" s="33">
        <f t="shared" si="14"/>
        <v>184.49999999999989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515">
        <v>0</v>
      </c>
      <c r="Y512" s="515">
        <v>0</v>
      </c>
      <c r="Z512" s="225"/>
      <c r="AA512" s="513"/>
      <c r="AB512" s="348"/>
      <c r="AC512" s="514"/>
      <c r="AD512" s="513"/>
    </row>
    <row r="513" spans="1:30" ht="15.75">
      <c r="A513" s="60" t="s">
        <v>2034</v>
      </c>
      <c r="B513" s="3"/>
      <c r="C513" s="3"/>
      <c r="D513" s="33">
        <f t="shared" si="14"/>
        <v>95.200000000000117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515">
        <v>0</v>
      </c>
      <c r="Y513" s="515">
        <v>14.3</v>
      </c>
      <c r="Z513" s="516"/>
      <c r="AA513" s="513"/>
      <c r="AB513" s="348"/>
      <c r="AC513" s="514"/>
      <c r="AD513" s="513"/>
    </row>
    <row r="514" spans="1:30" ht="15.75">
      <c r="A514" s="3" t="s">
        <v>180</v>
      </c>
      <c r="B514" s="3"/>
      <c r="C514" s="3"/>
      <c r="D514" s="33">
        <f t="shared" si="14"/>
        <v>193.49999999999991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515">
        <v>0</v>
      </c>
      <c r="Y514" s="515">
        <v>15.399999999999999</v>
      </c>
      <c r="Z514" s="513"/>
      <c r="AA514" s="513"/>
      <c r="AB514" s="361"/>
      <c r="AC514" s="514"/>
      <c r="AD514" s="513"/>
    </row>
    <row r="515" spans="1:30" ht="15.75">
      <c r="A515" s="3" t="s">
        <v>3403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515">
        <v>0</v>
      </c>
      <c r="Y515" s="515">
        <v>0</v>
      </c>
      <c r="Z515" s="513"/>
      <c r="AA515" s="513"/>
      <c r="AB515" s="361"/>
      <c r="AC515" s="514"/>
      <c r="AD515" s="513"/>
    </row>
    <row r="516" spans="1:30" ht="15.75">
      <c r="A516" s="82" t="s">
        <v>1659</v>
      </c>
      <c r="B516" s="3"/>
      <c r="C516" s="3"/>
      <c r="D516" s="33">
        <f t="shared" si="14"/>
        <v>192.39999999999992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515">
        <v>0</v>
      </c>
      <c r="Y516" s="515">
        <v>15.399999999999999</v>
      </c>
      <c r="Z516" s="225"/>
      <c r="AA516" s="513"/>
      <c r="AB516" s="348"/>
      <c r="AC516" s="514"/>
      <c r="AD516" s="513"/>
    </row>
    <row r="517" spans="1:30" ht="15.75">
      <c r="A517" s="3" t="s">
        <v>155</v>
      </c>
      <c r="B517" s="3"/>
      <c r="C517" s="3"/>
      <c r="D517" s="33">
        <f>SUM(E517:DZ517)</f>
        <v>158.60000000000085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515">
        <v>0</v>
      </c>
      <c r="Y517" s="515">
        <v>42.1</v>
      </c>
      <c r="Z517" s="517"/>
      <c r="AA517" s="513"/>
      <c r="AB517" s="348"/>
      <c r="AC517" s="514"/>
      <c r="AD517" s="513"/>
    </row>
    <row r="518" spans="1:30" ht="15.75">
      <c r="A518" s="3" t="s">
        <v>753</v>
      </c>
      <c r="B518" s="3"/>
      <c r="C518" s="3"/>
      <c r="D518" s="33">
        <f>SUM(E518:DZ518)</f>
        <v>134.89999999999992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515">
        <v>22.5</v>
      </c>
      <c r="Y518" s="515">
        <v>0</v>
      </c>
      <c r="Z518" s="513"/>
      <c r="AA518" s="513"/>
      <c r="AB518" s="348"/>
      <c r="AC518" s="514"/>
      <c r="AD518" s="513"/>
    </row>
    <row r="519" spans="1:30" ht="15.75">
      <c r="A519" s="60" t="s">
        <v>3374</v>
      </c>
      <c r="B519" s="3"/>
      <c r="C519" s="3"/>
      <c r="D519" s="33">
        <f>SUM(E519:DZ519)</f>
        <v>264.19999999999953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515">
        <v>0</v>
      </c>
      <c r="Y519" s="515">
        <v>15.399999999999999</v>
      </c>
      <c r="Z519" s="516"/>
      <c r="AA519" s="513"/>
      <c r="AB519" s="349"/>
      <c r="AC519" s="514"/>
      <c r="AD519" s="513"/>
    </row>
    <row r="520" spans="1:30" ht="15.75">
      <c r="A520" s="60" t="s">
        <v>2012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515">
        <v>0</v>
      </c>
      <c r="Y520" s="515">
        <v>0</v>
      </c>
      <c r="Z520" s="516"/>
      <c r="AA520" s="513"/>
      <c r="AB520" s="348"/>
      <c r="AC520" s="514"/>
      <c r="AD520" s="513"/>
    </row>
    <row r="521" spans="1:30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0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0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0" ht="20.25">
      <c r="A524" s="30" t="s">
        <v>170</v>
      </c>
      <c r="D524" s="32" t="s">
        <v>40</v>
      </c>
      <c r="E524" s="110" t="s">
        <v>4157</v>
      </c>
      <c r="F524" s="110" t="s">
        <v>4749</v>
      </c>
      <c r="G524" s="110" t="s">
        <v>4756</v>
      </c>
      <c r="H524" s="110" t="s">
        <v>4835</v>
      </c>
      <c r="I524" s="110" t="s">
        <v>4858</v>
      </c>
      <c r="J524" s="110" t="s">
        <v>4861</v>
      </c>
      <c r="K524" s="110" t="s">
        <v>4996</v>
      </c>
      <c r="L524" s="110" t="s">
        <v>5022</v>
      </c>
      <c r="M524" s="9"/>
      <c r="N524" s="63"/>
      <c r="O524" s="63"/>
      <c r="P524" s="63"/>
      <c r="Q524" s="349"/>
      <c r="R524" s="63"/>
      <c r="S524" s="63"/>
      <c r="U524" s="3"/>
      <c r="V524" s="79"/>
      <c r="W524" s="137"/>
    </row>
    <row r="525" spans="1:30" ht="15.75">
      <c r="A525" s="3" t="s">
        <v>3386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63"/>
      <c r="N525" s="63"/>
      <c r="O525" s="63"/>
      <c r="P525" s="361"/>
      <c r="Q525" s="338"/>
      <c r="R525" s="63"/>
      <c r="U525" s="3"/>
      <c r="V525" s="79"/>
      <c r="W525" s="137"/>
    </row>
    <row r="526" spans="1:30" ht="15.75">
      <c r="A526" s="60" t="s">
        <v>2014</v>
      </c>
      <c r="B526" s="3"/>
      <c r="C526" s="3"/>
      <c r="D526" s="33">
        <f t="shared" si="15"/>
        <v>179.10000000000076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278"/>
      <c r="N526" s="278"/>
      <c r="O526" s="63"/>
      <c r="P526" s="348"/>
      <c r="Q526" s="338"/>
      <c r="R526" s="63"/>
      <c r="U526" s="3"/>
      <c r="V526" s="79"/>
      <c r="W526" s="137"/>
    </row>
    <row r="527" spans="1:30" ht="15.75">
      <c r="A527" s="82" t="s">
        <v>1657</v>
      </c>
      <c r="B527" s="3"/>
      <c r="C527" s="3"/>
      <c r="D527" s="33">
        <f t="shared" si="15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225"/>
      <c r="N527" s="225"/>
      <c r="O527" s="63"/>
      <c r="P527" s="348"/>
      <c r="Q527" s="338"/>
      <c r="R527" s="63"/>
      <c r="U527" s="3"/>
      <c r="V527" s="79"/>
      <c r="W527" s="137"/>
    </row>
    <row r="528" spans="1:30" ht="15.75">
      <c r="A528" s="60" t="s">
        <v>2007</v>
      </c>
      <c r="B528" s="3"/>
      <c r="C528" s="3"/>
      <c r="D528" s="33">
        <f t="shared" si="15"/>
        <v>122.10000000000035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278"/>
      <c r="N528" s="278"/>
      <c r="O528" s="63"/>
      <c r="P528" s="348"/>
      <c r="Q528" s="338"/>
      <c r="R528" s="63"/>
      <c r="U528" s="3"/>
      <c r="V528" s="79"/>
      <c r="W528" s="137"/>
    </row>
    <row r="529" spans="1:23" ht="15.75">
      <c r="A529" s="82" t="s">
        <v>1652</v>
      </c>
      <c r="B529" s="3"/>
      <c r="C529" s="3"/>
      <c r="D529" s="33">
        <f t="shared" si="15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225"/>
      <c r="N529" s="225"/>
      <c r="O529" s="63"/>
      <c r="P529" s="348"/>
      <c r="Q529" s="338"/>
      <c r="R529" s="63"/>
      <c r="U529" s="3"/>
      <c r="V529" s="79"/>
      <c r="W529" s="137"/>
    </row>
    <row r="530" spans="1:23" ht="15.75">
      <c r="A530" s="82" t="s">
        <v>1647</v>
      </c>
      <c r="B530" s="3"/>
      <c r="C530" s="3"/>
      <c r="D530" s="33">
        <f t="shared" si="15"/>
        <v>238.00000000000034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225"/>
      <c r="N530" s="225"/>
      <c r="O530" s="63"/>
      <c r="P530" s="348"/>
      <c r="Q530" s="338"/>
      <c r="R530" s="63"/>
      <c r="U530" s="3"/>
      <c r="V530" s="79"/>
      <c r="W530" s="137"/>
    </row>
    <row r="531" spans="1:23" ht="15.75">
      <c r="A531" s="3" t="s">
        <v>3375</v>
      </c>
      <c r="B531" s="3"/>
      <c r="C531" s="3"/>
      <c r="D531" s="33">
        <f t="shared" si="15"/>
        <v>171.69999999999987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63"/>
      <c r="N531" s="63"/>
      <c r="O531" s="63"/>
      <c r="P531" s="361"/>
      <c r="Q531" s="338"/>
      <c r="R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278"/>
      <c r="N532" s="278"/>
      <c r="O532" s="63"/>
      <c r="P532" s="348"/>
      <c r="Q532" s="338"/>
      <c r="R532" s="63"/>
      <c r="U532" s="3"/>
      <c r="V532" s="79"/>
      <c r="W532" s="137"/>
    </row>
    <row r="533" spans="1:23" ht="15.75">
      <c r="A533" s="60" t="s">
        <v>2027</v>
      </c>
      <c r="B533" s="3"/>
      <c r="C533" s="3"/>
      <c r="D533" s="33">
        <f t="shared" si="15"/>
        <v>141.80000000000047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278"/>
      <c r="N533" s="278"/>
      <c r="O533" s="63"/>
      <c r="P533" s="348"/>
      <c r="Q533" s="338"/>
      <c r="R533" s="63"/>
      <c r="U533" s="3"/>
      <c r="V533" s="79"/>
      <c r="W533" s="137"/>
    </row>
    <row r="534" spans="1:23" ht="15.75">
      <c r="A534" s="3" t="s">
        <v>3394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63"/>
      <c r="N534" s="63"/>
      <c r="O534" s="63"/>
      <c r="P534" s="361"/>
      <c r="Q534" s="338"/>
      <c r="R534" s="63"/>
      <c r="U534" s="3"/>
      <c r="V534" s="79"/>
      <c r="W534" s="137"/>
    </row>
    <row r="535" spans="1:23" ht="15.75">
      <c r="A535" s="82" t="s">
        <v>1653</v>
      </c>
      <c r="B535" s="3"/>
      <c r="C535" s="3"/>
      <c r="D535" s="33">
        <f t="shared" si="15"/>
        <v>163.99999999999909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225"/>
      <c r="N535" s="225"/>
      <c r="O535" s="63"/>
      <c r="P535" s="348"/>
      <c r="Q535" s="338"/>
      <c r="R535" s="63"/>
      <c r="U535" s="3"/>
      <c r="V535" s="79"/>
      <c r="W535" s="137"/>
    </row>
    <row r="536" spans="1:23" ht="15.75">
      <c r="A536" s="3" t="s">
        <v>771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63"/>
      <c r="N536" s="63"/>
      <c r="O536" s="63"/>
      <c r="P536" s="348"/>
      <c r="Q536" s="338"/>
      <c r="R536" s="63"/>
      <c r="U536" s="3"/>
      <c r="V536" s="79"/>
      <c r="W536" s="137"/>
    </row>
    <row r="537" spans="1:23" ht="15.75">
      <c r="A537" s="60" t="s">
        <v>2057</v>
      </c>
      <c r="B537" s="3"/>
      <c r="C537" s="3"/>
      <c r="D537" s="33">
        <f t="shared" si="15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278"/>
      <c r="N537" s="278"/>
      <c r="O537" s="63"/>
      <c r="P537" s="348"/>
      <c r="Q537" s="338"/>
      <c r="R537" s="63"/>
      <c r="U537" s="3"/>
      <c r="V537" s="79"/>
      <c r="W537" s="137"/>
    </row>
    <row r="538" spans="1:23" ht="15.75">
      <c r="A538" s="3" t="s">
        <v>788</v>
      </c>
      <c r="B538" s="3"/>
      <c r="C538" s="3"/>
      <c r="D538" s="33">
        <f t="shared" si="15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63"/>
      <c r="N538" s="63"/>
      <c r="O538" s="63"/>
      <c r="P538" s="348"/>
      <c r="Q538" s="338"/>
      <c r="R538" s="63"/>
      <c r="U538" s="3"/>
      <c r="V538" s="79"/>
      <c r="W538" s="137"/>
    </row>
    <row r="539" spans="1:23" ht="15.75">
      <c r="A539" s="60" t="s">
        <v>2010</v>
      </c>
      <c r="B539" s="3"/>
      <c r="C539" s="3"/>
      <c r="D539" s="33">
        <f t="shared" si="15"/>
        <v>157.49999999999994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278"/>
      <c r="N539" s="278"/>
      <c r="O539" s="63"/>
      <c r="P539" s="348"/>
      <c r="Q539" s="338"/>
      <c r="R539" s="63"/>
      <c r="U539" s="3"/>
      <c r="V539" s="79"/>
      <c r="W539" s="137"/>
    </row>
    <row r="540" spans="1:23" ht="15.75">
      <c r="A540" s="3" t="s">
        <v>3376</v>
      </c>
      <c r="B540" s="3"/>
      <c r="C540" s="3"/>
      <c r="D540" s="33">
        <f t="shared" si="15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63"/>
      <c r="N540" s="63"/>
      <c r="O540" s="63"/>
      <c r="P540" s="361"/>
      <c r="Q540" s="338"/>
      <c r="R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235.20000000000041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63"/>
      <c r="N541" s="63"/>
      <c r="O541" s="63"/>
      <c r="P541" s="348"/>
      <c r="Q541" s="338"/>
      <c r="R541" s="63"/>
      <c r="U541" s="3"/>
      <c r="V541" s="79"/>
      <c r="W541" s="137"/>
    </row>
    <row r="542" spans="1:23" ht="15.75">
      <c r="A542" s="60" t="s">
        <v>2028</v>
      </c>
      <c r="B542" s="3"/>
      <c r="C542" s="3"/>
      <c r="D542" s="33">
        <f t="shared" si="15"/>
        <v>243.39999999999927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278"/>
      <c r="N542" s="278"/>
      <c r="O542" s="63"/>
      <c r="P542" s="348"/>
      <c r="Q542" s="338"/>
      <c r="R542" s="63"/>
      <c r="U542" s="3"/>
      <c r="V542" s="79"/>
      <c r="W542" s="137"/>
    </row>
    <row r="543" spans="1:23" ht="15.75">
      <c r="A543" s="3" t="s">
        <v>3379</v>
      </c>
      <c r="B543" s="3"/>
      <c r="C543" s="3"/>
      <c r="D543" s="33">
        <f t="shared" si="15"/>
        <v>147.19999999999951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63"/>
      <c r="N543" s="63"/>
      <c r="O543" s="63"/>
      <c r="P543" s="361"/>
      <c r="Q543" s="338"/>
      <c r="R543" s="63"/>
      <c r="U543" s="3"/>
      <c r="V543" s="79"/>
      <c r="W543" s="137"/>
    </row>
    <row r="544" spans="1:23" ht="15.75">
      <c r="A544" s="3" t="s">
        <v>3393</v>
      </c>
      <c r="B544" s="3"/>
      <c r="C544" s="3"/>
      <c r="D544" s="33">
        <f t="shared" si="15"/>
        <v>195.20000000000022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63"/>
      <c r="N544" s="63"/>
      <c r="O544" s="63"/>
      <c r="P544" s="361"/>
      <c r="Q544" s="338"/>
      <c r="R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188.90000000000094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278"/>
      <c r="N545" s="278"/>
      <c r="O545" s="63"/>
      <c r="P545" s="349"/>
      <c r="Q545" s="338"/>
      <c r="R545" s="63"/>
      <c r="T545" s="82"/>
      <c r="U545" s="3"/>
      <c r="V545" s="79"/>
      <c r="W545" s="137"/>
    </row>
    <row r="546" spans="1:24" ht="15.75">
      <c r="A546" s="60" t="s">
        <v>2022</v>
      </c>
      <c r="B546" s="3"/>
      <c r="C546" s="3"/>
      <c r="D546" s="33">
        <f t="shared" si="15"/>
        <v>408.69999999999976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278"/>
      <c r="N546" s="278"/>
      <c r="O546" s="63"/>
      <c r="P546" s="348"/>
      <c r="Q546" s="338"/>
      <c r="R546" s="63"/>
    </row>
    <row r="547" spans="1:24" ht="15.75">
      <c r="A547" s="60" t="s">
        <v>11</v>
      </c>
      <c r="B547" s="3"/>
      <c r="C547" s="3"/>
      <c r="D547" s="33">
        <f t="shared" si="15"/>
        <v>86.199999999999818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278"/>
      <c r="N547" s="278"/>
      <c r="O547" s="63"/>
      <c r="P547" s="348"/>
      <c r="Q547" s="338"/>
      <c r="R547" s="63"/>
    </row>
    <row r="548" spans="1:24" s="30" customFormat="1" ht="20.25">
      <c r="A548" s="3" t="s">
        <v>3377</v>
      </c>
      <c r="B548" s="3"/>
      <c r="C548" s="3"/>
      <c r="D548" s="33">
        <f t="shared" si="15"/>
        <v>128.39999999999989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63"/>
      <c r="N548" s="63"/>
      <c r="O548" s="63"/>
      <c r="P548" s="361"/>
      <c r="Q548" s="338"/>
      <c r="R548" s="63"/>
    </row>
    <row r="549" spans="1:24" ht="15.75">
      <c r="A549" s="60" t="s">
        <v>2029</v>
      </c>
      <c r="B549" s="3"/>
      <c r="C549" s="3"/>
      <c r="D549" s="33">
        <f t="shared" si="15"/>
        <v>83.399999999999594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278"/>
      <c r="N549" s="278"/>
      <c r="O549" s="63"/>
      <c r="P549" s="348"/>
      <c r="Q549" s="338"/>
      <c r="R549" s="63"/>
      <c r="T549" s="278"/>
      <c r="U549" s="63"/>
      <c r="V549" s="348"/>
      <c r="W549" s="63"/>
      <c r="X549" s="63"/>
    </row>
    <row r="550" spans="1:24" ht="15.75">
      <c r="A550" s="82" t="s">
        <v>1655</v>
      </c>
      <c r="B550" s="3"/>
      <c r="C550" s="3"/>
      <c r="D550" s="33">
        <f t="shared" si="15"/>
        <v>246.50000000000065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225"/>
      <c r="N550" s="225"/>
      <c r="O550" s="63"/>
      <c r="P550" s="348"/>
      <c r="Q550" s="338"/>
      <c r="R550" s="63"/>
      <c r="T550" s="225"/>
      <c r="U550" s="63"/>
      <c r="V550" s="348"/>
      <c r="W550" s="63"/>
      <c r="X550" s="63"/>
    </row>
    <row r="551" spans="1:24" ht="15.75">
      <c r="A551" s="3" t="s">
        <v>728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63"/>
      <c r="N551" s="63"/>
      <c r="O551" s="63"/>
      <c r="P551" s="348"/>
      <c r="Q551" s="338"/>
      <c r="R551" s="63"/>
      <c r="T551" s="63"/>
      <c r="U551" s="63"/>
      <c r="V551" s="349"/>
      <c r="W551" s="63"/>
      <c r="X551" s="63"/>
    </row>
    <row r="552" spans="1:24" ht="15.75">
      <c r="A552" s="60" t="s">
        <v>2015</v>
      </c>
      <c r="B552" s="3"/>
      <c r="C552" s="3"/>
      <c r="D552" s="33">
        <f t="shared" si="15"/>
        <v>269.59999999999889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278"/>
      <c r="N552" s="278"/>
      <c r="O552" s="63"/>
      <c r="P552" s="348"/>
      <c r="Q552" s="338"/>
      <c r="R552" s="63"/>
      <c r="T552" s="278"/>
      <c r="U552" s="63"/>
      <c r="V552" s="348"/>
      <c r="W552" s="63"/>
      <c r="X552" s="63"/>
    </row>
    <row r="553" spans="1:24" ht="15.75">
      <c r="A553" s="3" t="s">
        <v>3387</v>
      </c>
      <c r="B553" s="3"/>
      <c r="C553" s="3"/>
      <c r="D553" s="33">
        <f t="shared" si="15"/>
        <v>204.6999999999997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63"/>
      <c r="N553" s="63"/>
      <c r="O553" s="63"/>
      <c r="P553" s="361"/>
      <c r="Q553" s="338"/>
      <c r="R553" s="63"/>
      <c r="T553" s="225"/>
      <c r="U553" s="63"/>
      <c r="V553" s="348"/>
      <c r="W553" s="63"/>
      <c r="X553" s="63"/>
    </row>
    <row r="554" spans="1:24" ht="15.75">
      <c r="A554" s="3" t="s">
        <v>783</v>
      </c>
      <c r="B554" s="3"/>
      <c r="C554" s="3"/>
      <c r="D554" s="33">
        <f t="shared" si="15"/>
        <v>170.70000000000113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278"/>
      <c r="N554" s="278"/>
      <c r="O554" s="63"/>
      <c r="P554" s="349"/>
      <c r="Q554" s="338"/>
      <c r="R554" s="63"/>
      <c r="T554" s="225"/>
      <c r="U554" s="63"/>
      <c r="V554" s="348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112.49999999999949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278"/>
      <c r="N555" s="278"/>
      <c r="O555" s="63"/>
      <c r="P555" s="349"/>
      <c r="Q555" s="338"/>
      <c r="R555" s="63"/>
      <c r="T555" s="278"/>
      <c r="U555" s="63"/>
      <c r="V555" s="348"/>
      <c r="W555" s="63"/>
      <c r="X555" s="63"/>
    </row>
    <row r="556" spans="1:24" ht="15.75">
      <c r="A556" s="3" t="s">
        <v>734</v>
      </c>
      <c r="B556" s="3"/>
      <c r="C556" s="3"/>
      <c r="D556" s="33">
        <f t="shared" si="15"/>
        <v>243.40000000000012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63"/>
      <c r="N556" s="63"/>
      <c r="O556" s="63"/>
      <c r="P556" s="348"/>
      <c r="Q556" s="338"/>
      <c r="R556" s="63"/>
      <c r="T556" s="278"/>
      <c r="U556" s="63"/>
      <c r="V556" s="348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167.20000000000022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278"/>
      <c r="N557" s="278"/>
      <c r="O557" s="63"/>
      <c r="P557" s="348"/>
      <c r="Q557" s="338"/>
      <c r="R557" s="63"/>
      <c r="T557" s="278"/>
      <c r="U557" s="63"/>
      <c r="V557" s="348"/>
      <c r="W557" s="63"/>
      <c r="X557" s="63"/>
    </row>
    <row r="558" spans="1:24" ht="15.75">
      <c r="A558" s="3" t="s">
        <v>3402</v>
      </c>
      <c r="B558" s="3"/>
      <c r="C558" s="3"/>
      <c r="D558" s="33">
        <f t="shared" si="16"/>
        <v>150.00000000000114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63"/>
      <c r="N558" s="63"/>
      <c r="O558" s="63"/>
      <c r="P558" s="361"/>
      <c r="Q558" s="338"/>
      <c r="R558" s="63"/>
      <c r="T558" s="225"/>
      <c r="U558" s="63"/>
      <c r="V558" s="349"/>
      <c r="W558" s="63"/>
      <c r="X558" s="63"/>
    </row>
    <row r="559" spans="1:24" ht="15.75">
      <c r="A559" s="60" t="s">
        <v>2011</v>
      </c>
      <c r="B559" s="3"/>
      <c r="C559" s="3"/>
      <c r="D559" s="33">
        <f t="shared" si="16"/>
        <v>158.60000000000213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278"/>
      <c r="N559" s="278"/>
      <c r="O559" s="63"/>
      <c r="P559" s="349"/>
      <c r="Q559" s="338"/>
      <c r="R559" s="63"/>
      <c r="T559" s="63"/>
      <c r="U559" s="63"/>
      <c r="V559" s="348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216.49999999999989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278"/>
      <c r="N560" s="278"/>
      <c r="O560" s="63"/>
      <c r="P560" s="348"/>
      <c r="Q560" s="338"/>
      <c r="R560" s="63"/>
      <c r="T560" s="278"/>
      <c r="U560" s="63"/>
      <c r="V560" s="348"/>
      <c r="W560" s="63"/>
      <c r="X560" s="63"/>
    </row>
    <row r="561" spans="1:24" ht="15.75">
      <c r="A561" s="3" t="s">
        <v>757</v>
      </c>
      <c r="B561" s="3"/>
      <c r="C561" s="3"/>
      <c r="D561" s="33">
        <f t="shared" si="16"/>
        <v>144.39999999999981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63"/>
      <c r="N561" s="63"/>
      <c r="O561" s="63"/>
      <c r="P561" s="348"/>
      <c r="Q561" s="338"/>
      <c r="R561" s="63"/>
      <c r="T561" s="63"/>
      <c r="U561" s="63"/>
      <c r="V561" s="348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63"/>
      <c r="N562" s="63"/>
      <c r="O562" s="63"/>
      <c r="P562" s="348"/>
      <c r="Q562" s="338"/>
      <c r="R562" s="63"/>
      <c r="T562" s="278"/>
      <c r="U562" s="63"/>
      <c r="V562" s="349"/>
      <c r="W562" s="63"/>
      <c r="X562" s="63"/>
    </row>
    <row r="563" spans="1:24" ht="15.75">
      <c r="A563" s="3" t="s">
        <v>3381</v>
      </c>
      <c r="B563" s="3"/>
      <c r="C563" s="3"/>
      <c r="D563" s="33">
        <f t="shared" si="16"/>
        <v>267.20000000000027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63"/>
      <c r="N563" s="63"/>
      <c r="O563" s="63"/>
      <c r="P563" s="361"/>
      <c r="Q563" s="338"/>
      <c r="R563" s="63"/>
      <c r="T563" s="63"/>
      <c r="U563" s="63"/>
      <c r="V563" s="348"/>
      <c r="W563" s="63"/>
      <c r="X563" s="63"/>
    </row>
    <row r="564" spans="1:24" ht="15.75">
      <c r="A564" s="3" t="s">
        <v>3406</v>
      </c>
      <c r="B564" s="3"/>
      <c r="C564" s="3"/>
      <c r="D564" s="33">
        <f t="shared" si="16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63"/>
      <c r="N564" s="63"/>
      <c r="O564" s="63"/>
      <c r="P564" s="361"/>
      <c r="Q564" s="338"/>
      <c r="R564" s="63"/>
      <c r="T564" s="278"/>
      <c r="U564" s="63"/>
      <c r="V564" s="349"/>
      <c r="W564" s="63"/>
      <c r="X564" s="63"/>
    </row>
    <row r="565" spans="1:24" ht="15.75">
      <c r="A565" s="3" t="s">
        <v>3384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63"/>
      <c r="N565" s="63"/>
      <c r="O565" s="63"/>
      <c r="P565" s="361"/>
      <c r="Q565" s="338"/>
      <c r="R565" s="63"/>
      <c r="T565" s="63"/>
      <c r="U565" s="63"/>
      <c r="V565" s="348"/>
      <c r="W565" s="63"/>
      <c r="X565" s="63"/>
    </row>
    <row r="566" spans="1:24" ht="15.75">
      <c r="A566" s="82" t="s">
        <v>1643</v>
      </c>
      <c r="B566" s="3"/>
      <c r="C566" s="3"/>
      <c r="D566" s="33">
        <f t="shared" si="16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225"/>
      <c r="N566" s="225"/>
      <c r="O566" s="63"/>
      <c r="P566" s="348"/>
      <c r="Q566" s="338"/>
      <c r="R566" s="63"/>
      <c r="T566" s="278"/>
      <c r="U566" s="63"/>
      <c r="V566" s="348"/>
      <c r="W566" s="63"/>
      <c r="X566" s="63"/>
    </row>
    <row r="567" spans="1:24" ht="15.75">
      <c r="A567" s="3" t="s">
        <v>3380</v>
      </c>
      <c r="B567" s="3"/>
      <c r="C567" s="3"/>
      <c r="D567" s="33">
        <f t="shared" si="16"/>
        <v>148.5999999999994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63"/>
      <c r="N567" s="63"/>
      <c r="O567" s="63"/>
      <c r="P567" s="361"/>
      <c r="Q567" s="338"/>
      <c r="R567" s="63"/>
      <c r="T567" s="278"/>
      <c r="U567" s="63"/>
      <c r="V567" s="348"/>
      <c r="W567" s="63"/>
      <c r="X567" s="63"/>
    </row>
    <row r="568" spans="1:24" ht="15.75">
      <c r="A568" s="3" t="s">
        <v>800</v>
      </c>
      <c r="B568" s="3"/>
      <c r="C568" s="3"/>
      <c r="D568" s="33">
        <f t="shared" si="16"/>
        <v>286.60000000000002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278"/>
      <c r="N568" s="278"/>
      <c r="O568" s="63"/>
      <c r="P568" s="348"/>
      <c r="Q568" s="338"/>
      <c r="R568" s="63"/>
      <c r="T568" s="278"/>
      <c r="U568" s="63"/>
      <c r="V568" s="349"/>
      <c r="W568" s="63"/>
      <c r="X568" s="63"/>
    </row>
    <row r="569" spans="1:24" ht="15.75">
      <c r="A569" s="60" t="s">
        <v>4520</v>
      </c>
      <c r="B569" s="3"/>
      <c r="C569" s="3"/>
      <c r="D569" s="33">
        <f t="shared" si="16"/>
        <v>213.2999999999995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278"/>
      <c r="N569" s="278"/>
      <c r="O569" s="63"/>
      <c r="P569" s="348"/>
      <c r="Q569" s="338"/>
      <c r="R569" s="63"/>
      <c r="T569" s="225"/>
      <c r="U569" s="63"/>
      <c r="V569" s="348"/>
      <c r="W569" s="63"/>
      <c r="X569" s="63"/>
    </row>
    <row r="570" spans="1:24" ht="15.75">
      <c r="A570" s="3" t="s">
        <v>796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63"/>
      <c r="N570" s="63"/>
      <c r="O570" s="63"/>
      <c r="P570" s="348"/>
      <c r="Q570" s="338"/>
      <c r="R570" s="63"/>
      <c r="T570" s="63"/>
      <c r="U570" s="63"/>
      <c r="V570" s="349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236.89999999999998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63"/>
      <c r="N571" s="63"/>
      <c r="O571" s="63"/>
      <c r="P571" s="348"/>
      <c r="Q571" s="338"/>
      <c r="R571" s="63"/>
      <c r="T571" s="278"/>
      <c r="U571" s="63"/>
      <c r="V571" s="348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63"/>
      <c r="N572" s="63"/>
      <c r="O572" s="63"/>
      <c r="P572" s="348"/>
      <c r="Q572" s="338"/>
      <c r="R572" s="63"/>
      <c r="T572" s="63"/>
      <c r="U572" s="63"/>
      <c r="V572" s="348"/>
      <c r="W572" s="63"/>
      <c r="X572" s="63"/>
    </row>
    <row r="573" spans="1:24" ht="15.75">
      <c r="A573" s="60" t="s">
        <v>3373</v>
      </c>
      <c r="B573" s="3"/>
      <c r="C573" s="3"/>
      <c r="D573" s="33">
        <f t="shared" si="16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278"/>
      <c r="N573" s="278"/>
      <c r="O573" s="63"/>
      <c r="P573" s="349"/>
      <c r="Q573" s="338"/>
      <c r="R573" s="63"/>
      <c r="T573" s="278"/>
      <c r="U573" s="63"/>
      <c r="V573" s="348"/>
      <c r="W573" s="63"/>
      <c r="X573" s="63"/>
    </row>
    <row r="574" spans="1:24" ht="15.75">
      <c r="A574" s="60" t="s">
        <v>2030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278"/>
      <c r="N574" s="278"/>
      <c r="O574" s="63"/>
      <c r="P574" s="348"/>
      <c r="Q574" s="338"/>
      <c r="R574" s="63"/>
      <c r="T574" s="63"/>
      <c r="U574" s="63"/>
      <c r="V574" s="348"/>
      <c r="W574" s="63"/>
      <c r="X574" s="63"/>
    </row>
    <row r="575" spans="1:24" ht="15.75">
      <c r="A575" s="3" t="s">
        <v>3383</v>
      </c>
      <c r="B575" s="3"/>
      <c r="C575" s="3"/>
      <c r="D575" s="33">
        <f t="shared" si="16"/>
        <v>181.8000000000003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63"/>
      <c r="N575" s="63"/>
      <c r="O575" s="63"/>
      <c r="P575" s="361"/>
      <c r="Q575" s="338"/>
      <c r="R575" s="63"/>
      <c r="T575" s="278"/>
      <c r="U575" s="63"/>
      <c r="V575" s="348"/>
      <c r="W575" s="63"/>
      <c r="X575" s="63"/>
    </row>
    <row r="576" spans="1:24" ht="15.75">
      <c r="A576" s="60" t="s">
        <v>2031</v>
      </c>
      <c r="B576" s="3"/>
      <c r="C576" s="3"/>
      <c r="D576" s="33">
        <f t="shared" si="16"/>
        <v>257.10000000000048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278"/>
      <c r="N576" s="278"/>
      <c r="O576" s="63"/>
      <c r="P576" s="348"/>
      <c r="Q576" s="338"/>
      <c r="R576" s="63"/>
      <c r="T576" s="278"/>
      <c r="U576" s="63"/>
      <c r="V576" s="348"/>
      <c r="W576" s="63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225"/>
      <c r="N577" s="225"/>
      <c r="O577" s="63"/>
      <c r="P577" s="348"/>
      <c r="Q577" s="338"/>
      <c r="R577" s="63"/>
      <c r="T577" s="278"/>
      <c r="U577" s="63"/>
      <c r="V577" s="348"/>
      <c r="W577" s="63"/>
      <c r="X577" s="63"/>
    </row>
    <row r="578" spans="1:24" ht="15.75">
      <c r="A578" s="3" t="s">
        <v>762</v>
      </c>
      <c r="B578" s="3"/>
      <c r="C578" s="3"/>
      <c r="D578" s="33">
        <f t="shared" si="16"/>
        <v>204.49999999999955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63"/>
      <c r="N578" s="63"/>
      <c r="O578" s="63"/>
      <c r="P578" s="348"/>
      <c r="Q578" s="338"/>
      <c r="R578" s="63"/>
      <c r="T578" s="63"/>
      <c r="U578" s="63"/>
      <c r="V578" s="348"/>
      <c r="W578" s="63"/>
      <c r="X578" s="63"/>
    </row>
    <row r="579" spans="1:24" ht="15.75">
      <c r="A579" s="3" t="s">
        <v>3382</v>
      </c>
      <c r="B579" s="3"/>
      <c r="C579" s="3"/>
      <c r="D579" s="33">
        <f t="shared" si="16"/>
        <v>170.70000000000059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63"/>
      <c r="N579" s="63"/>
      <c r="O579" s="63"/>
      <c r="P579" s="361"/>
      <c r="Q579" s="338"/>
      <c r="R579" s="63"/>
      <c r="T579" s="63"/>
      <c r="U579" s="63"/>
      <c r="V579" s="348"/>
      <c r="W579" s="63"/>
      <c r="X579" s="63"/>
    </row>
    <row r="580" spans="1:24" ht="15.75">
      <c r="A580" s="3" t="s">
        <v>3389</v>
      </c>
      <c r="B580" s="3"/>
      <c r="C580" s="3"/>
      <c r="D580" s="33">
        <f t="shared" si="16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63"/>
      <c r="N580" s="63"/>
      <c r="O580" s="63"/>
      <c r="P580" s="361"/>
      <c r="Q580" s="338"/>
      <c r="R580" s="63"/>
      <c r="T580" s="225"/>
      <c r="U580" s="63"/>
      <c r="V580" s="348"/>
      <c r="W580" s="63"/>
      <c r="X580" s="63"/>
    </row>
    <row r="581" spans="1:24" ht="15.75">
      <c r="A581" s="3" t="s">
        <v>763</v>
      </c>
      <c r="B581" s="3"/>
      <c r="C581" s="3"/>
      <c r="D581" s="33">
        <f t="shared" si="16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63"/>
      <c r="N581" s="63"/>
      <c r="O581" s="63"/>
      <c r="P581" s="348"/>
      <c r="Q581" s="338"/>
      <c r="R581" s="63"/>
      <c r="T581" s="63"/>
      <c r="U581" s="63"/>
      <c r="V581" s="348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86.099999999999113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278"/>
      <c r="N582" s="278"/>
      <c r="O582" s="63"/>
      <c r="P582" s="348"/>
      <c r="Q582" s="338"/>
      <c r="R582" s="63"/>
      <c r="T582" s="278"/>
      <c r="U582" s="63"/>
      <c r="V582" s="348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242.30000000000035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63"/>
      <c r="N583" s="63"/>
      <c r="O583" s="63"/>
      <c r="P583" s="348"/>
      <c r="Q583" s="338"/>
      <c r="R583" s="63"/>
      <c r="T583" s="63"/>
      <c r="U583" s="63"/>
      <c r="V583" s="348"/>
      <c r="W583" s="63"/>
      <c r="X583" s="63"/>
    </row>
    <row r="584" spans="1:24" ht="15.75">
      <c r="A584" s="82" t="s">
        <v>1654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225"/>
      <c r="N584" s="225"/>
      <c r="O584" s="63"/>
      <c r="P584" s="348"/>
      <c r="Q584" s="338"/>
      <c r="R584" s="63"/>
      <c r="T584" s="28"/>
      <c r="U584" s="63"/>
      <c r="V584" s="349"/>
      <c r="W584" s="63"/>
      <c r="X584" s="63"/>
    </row>
    <row r="585" spans="1:24" ht="15.75">
      <c r="A585" s="82" t="s">
        <v>1656</v>
      </c>
      <c r="B585" s="3"/>
      <c r="C585" s="3"/>
      <c r="D585" s="33">
        <f t="shared" si="16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225"/>
      <c r="N585" s="225"/>
      <c r="O585" s="63"/>
      <c r="P585" s="349"/>
      <c r="Q585" s="338"/>
      <c r="R585" s="63"/>
      <c r="T585" s="63"/>
      <c r="U585" s="63"/>
      <c r="V585" s="348"/>
      <c r="W585" s="63"/>
      <c r="X585" s="63"/>
    </row>
    <row r="586" spans="1:24" ht="15.75">
      <c r="A586" s="3" t="s">
        <v>3378</v>
      </c>
      <c r="B586" s="3"/>
      <c r="C586" s="3"/>
      <c r="D586" s="33">
        <f t="shared" si="16"/>
        <v>109.89999999999998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63"/>
      <c r="N586" s="63"/>
      <c r="O586" s="63"/>
      <c r="P586" s="361"/>
      <c r="Q586" s="338"/>
      <c r="R586" s="63"/>
      <c r="T586" s="278"/>
      <c r="U586" s="63"/>
      <c r="V586" s="349"/>
      <c r="W586" s="63"/>
      <c r="X586" s="63"/>
    </row>
    <row r="587" spans="1:24" ht="15.75">
      <c r="A587" s="3" t="s">
        <v>746</v>
      </c>
      <c r="B587" s="3"/>
      <c r="C587" s="3"/>
      <c r="D587" s="33">
        <f t="shared" si="16"/>
        <v>286.19999999999857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63"/>
      <c r="N587" s="63"/>
      <c r="O587" s="63"/>
      <c r="P587" s="348"/>
      <c r="Q587" s="338"/>
      <c r="R587" s="63"/>
      <c r="T587" s="278"/>
      <c r="U587" s="63"/>
      <c r="V587" s="349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135.29999999999959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278"/>
      <c r="N588" s="278"/>
      <c r="O588" s="63"/>
      <c r="P588" s="349"/>
      <c r="Q588" s="338"/>
      <c r="R588" s="63"/>
      <c r="T588" s="225"/>
      <c r="U588" s="63"/>
      <c r="V588" s="349"/>
      <c r="W588" s="63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296.69999999999942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63"/>
      <c r="N589" s="63"/>
      <c r="O589" s="63"/>
      <c r="P589" s="349"/>
      <c r="Q589" s="338"/>
      <c r="R589" s="63"/>
      <c r="T589" s="63"/>
      <c r="U589" s="63"/>
      <c r="V589" s="349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109.69999999999959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278"/>
      <c r="N590" s="278"/>
      <c r="O590" s="63"/>
      <c r="P590" s="348"/>
      <c r="Q590" s="338"/>
      <c r="R590" s="63"/>
      <c r="T590" s="63"/>
      <c r="U590" s="63"/>
      <c r="V590" s="348"/>
      <c r="W590" s="63"/>
      <c r="X590" s="63"/>
    </row>
    <row r="591" spans="1:24" ht="15.75">
      <c r="A591" s="3" t="s">
        <v>3390</v>
      </c>
      <c r="B591" s="3"/>
      <c r="C591" s="3"/>
      <c r="D591" s="33">
        <f t="shared" si="17"/>
        <v>218.39999999999853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63"/>
      <c r="N591" s="63"/>
      <c r="O591" s="63"/>
      <c r="P591" s="361"/>
      <c r="Q591" s="338"/>
      <c r="R591" s="63"/>
      <c r="T591" s="278"/>
      <c r="U591" s="63"/>
      <c r="V591" s="348"/>
      <c r="W591" s="63"/>
      <c r="X591" s="63"/>
    </row>
    <row r="592" spans="1:24" ht="15.75">
      <c r="A592" s="3" t="s">
        <v>764</v>
      </c>
      <c r="B592" s="3"/>
      <c r="C592" s="3"/>
      <c r="D592" s="33">
        <f t="shared" si="17"/>
        <v>189.6000000000007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63"/>
      <c r="N592" s="63"/>
      <c r="O592" s="63"/>
      <c r="P592" s="349"/>
      <c r="Q592" s="338"/>
      <c r="R592" s="63"/>
      <c r="T592" s="278"/>
      <c r="U592" s="63"/>
      <c r="V592" s="349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215.00000000000028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63"/>
      <c r="N593" s="63"/>
      <c r="O593" s="63"/>
      <c r="P593" s="348"/>
      <c r="Q593" s="338"/>
      <c r="R593" s="63"/>
      <c r="T593" s="225"/>
      <c r="U593" s="63"/>
      <c r="V593" s="348"/>
      <c r="W593" s="63"/>
      <c r="X593" s="63"/>
    </row>
    <row r="594" spans="1:24" ht="15.75">
      <c r="A594" s="3" t="s">
        <v>738</v>
      </c>
      <c r="B594" s="3"/>
      <c r="C594" s="3"/>
      <c r="D594" s="33">
        <f t="shared" si="17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63"/>
      <c r="N594" s="63"/>
      <c r="O594" s="63"/>
      <c r="P594" s="348"/>
      <c r="Q594" s="338"/>
      <c r="R594" s="63"/>
      <c r="T594" s="225"/>
      <c r="U594" s="63"/>
      <c r="V594" s="348"/>
      <c r="W594" s="63"/>
      <c r="X594" s="63"/>
    </row>
    <row r="595" spans="1:24" ht="15.75">
      <c r="A595" s="82" t="s">
        <v>1660</v>
      </c>
      <c r="B595" s="3"/>
      <c r="C595" s="3"/>
      <c r="D595" s="33">
        <f t="shared" si="17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225"/>
      <c r="N595" s="225"/>
      <c r="O595" s="63"/>
      <c r="P595" s="348"/>
      <c r="Q595" s="338"/>
      <c r="R595" s="63"/>
      <c r="T595" s="225"/>
      <c r="U595" s="63"/>
      <c r="V595" s="348"/>
      <c r="W595" s="63"/>
      <c r="X595" s="63"/>
    </row>
    <row r="596" spans="1:24" ht="15.75">
      <c r="A596" s="3" t="s">
        <v>3405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63"/>
      <c r="N596" s="63"/>
      <c r="O596" s="63"/>
      <c r="P596" s="361"/>
      <c r="Q596" s="338"/>
      <c r="R596" s="63"/>
      <c r="T596" s="278"/>
      <c r="U596" s="63"/>
      <c r="V596" s="349"/>
      <c r="W596" s="63"/>
      <c r="X596" s="63"/>
    </row>
    <row r="597" spans="1:24" ht="15.75">
      <c r="A597" s="3" t="s">
        <v>779</v>
      </c>
      <c r="B597" s="3"/>
      <c r="C597" s="3"/>
      <c r="D597" s="33">
        <f t="shared" si="17"/>
        <v>164.19999999999959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278"/>
      <c r="N597" s="278"/>
      <c r="O597" s="63"/>
      <c r="P597" s="348"/>
      <c r="Q597" s="338"/>
      <c r="R597" s="63"/>
      <c r="T597" s="63"/>
      <c r="U597" s="63"/>
      <c r="V597" s="348"/>
      <c r="W597" s="63"/>
      <c r="X597" s="63"/>
    </row>
    <row r="598" spans="1:24" ht="15.75">
      <c r="A598" s="60" t="s">
        <v>2054</v>
      </c>
      <c r="B598" s="3"/>
      <c r="C598" s="3"/>
      <c r="D598" s="33">
        <f t="shared" si="17"/>
        <v>133.99999999999972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278"/>
      <c r="N598" s="278"/>
      <c r="O598" s="63"/>
      <c r="P598" s="348"/>
      <c r="Q598" s="338"/>
      <c r="R598" s="63"/>
      <c r="T598" s="278"/>
      <c r="U598" s="63"/>
      <c r="V598" s="348"/>
      <c r="W598" s="63"/>
      <c r="X598" s="63"/>
    </row>
    <row r="599" spans="1:24" ht="15.75">
      <c r="A599" s="3" t="s">
        <v>749</v>
      </c>
      <c r="B599" s="3"/>
      <c r="C599" s="3"/>
      <c r="D599" s="33">
        <f t="shared" si="17"/>
        <v>320.89999999999935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63"/>
      <c r="N599" s="63"/>
      <c r="O599" s="63"/>
      <c r="P599" s="348"/>
      <c r="Q599" s="338"/>
      <c r="R599" s="63"/>
      <c r="T599" s="63"/>
      <c r="U599" s="63"/>
      <c r="V599" s="349"/>
      <c r="W599" s="63"/>
      <c r="X599" s="63"/>
    </row>
    <row r="600" spans="1:24" ht="15.75">
      <c r="A600" s="3" t="s">
        <v>748</v>
      </c>
      <c r="B600" s="3"/>
      <c r="C600" s="3"/>
      <c r="D600" s="33">
        <f t="shared" si="17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63"/>
      <c r="N600" s="63"/>
      <c r="O600" s="63"/>
      <c r="P600" s="348"/>
      <c r="Q600" s="338"/>
      <c r="R600" s="63"/>
      <c r="T600" s="63"/>
      <c r="U600" s="63"/>
      <c r="V600" s="348"/>
      <c r="W600" s="63"/>
      <c r="X600" s="63"/>
    </row>
    <row r="601" spans="1:24" ht="15.75">
      <c r="A601" s="60" t="s">
        <v>2056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278"/>
      <c r="N601" s="278"/>
      <c r="O601" s="63"/>
      <c r="P601" s="348"/>
      <c r="Q601" s="338"/>
      <c r="R601" s="63"/>
      <c r="T601" s="63"/>
      <c r="U601" s="63"/>
      <c r="V601" s="348"/>
      <c r="W601" s="63"/>
      <c r="X601" s="63"/>
    </row>
    <row r="602" spans="1:24" ht="15.75">
      <c r="A602" s="60" t="s">
        <v>2161</v>
      </c>
      <c r="B602" s="3"/>
      <c r="C602" s="3"/>
      <c r="D602" s="33">
        <f t="shared" si="17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278"/>
      <c r="N602" s="278"/>
      <c r="O602" s="63"/>
      <c r="P602" s="348"/>
      <c r="Q602" s="338"/>
      <c r="R602" s="63"/>
      <c r="T602" s="28"/>
      <c r="U602" s="63"/>
      <c r="V602" s="348"/>
      <c r="W602" s="63"/>
      <c r="X602" s="63"/>
    </row>
    <row r="603" spans="1:24" ht="15.75">
      <c r="A603" s="3" t="s">
        <v>3385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63"/>
      <c r="N603" s="63"/>
      <c r="O603" s="63"/>
      <c r="P603" s="361"/>
      <c r="Q603" s="338"/>
      <c r="R603" s="63"/>
      <c r="T603" s="63"/>
      <c r="U603" s="63"/>
      <c r="V603" s="348"/>
      <c r="W603" s="63"/>
      <c r="X603" s="63"/>
    </row>
    <row r="604" spans="1:24" ht="15.75">
      <c r="A604" s="3" t="s">
        <v>733</v>
      </c>
      <c r="B604" s="3"/>
      <c r="C604" s="3"/>
      <c r="D604" s="33">
        <f t="shared" si="17"/>
        <v>233.39999999999998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63"/>
      <c r="N604" s="63"/>
      <c r="O604" s="63"/>
      <c r="P604" s="348"/>
      <c r="Q604" s="338"/>
      <c r="R604" s="63"/>
      <c r="T604" s="225"/>
      <c r="U604" s="63"/>
      <c r="V604" s="348"/>
      <c r="W604" s="63"/>
      <c r="X604" s="63"/>
    </row>
    <row r="605" spans="1:24" ht="15.75">
      <c r="A605" s="3" t="s">
        <v>3388</v>
      </c>
      <c r="B605" s="3"/>
      <c r="C605" s="3"/>
      <c r="D605" s="33">
        <f t="shared" si="17"/>
        <v>150.69999999999993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63"/>
      <c r="N605" s="63"/>
      <c r="O605" s="63"/>
      <c r="P605" s="361"/>
      <c r="Q605" s="338"/>
      <c r="R605" s="63"/>
      <c r="T605" s="63"/>
      <c r="U605" s="63"/>
      <c r="V605" s="348"/>
      <c r="W605" s="63"/>
      <c r="X605" s="63"/>
    </row>
    <row r="606" spans="1:24" ht="15.75">
      <c r="A606" s="60" t="s">
        <v>2006</v>
      </c>
      <c r="B606" s="3"/>
      <c r="C606" s="3"/>
      <c r="D606" s="33">
        <f t="shared" si="17"/>
        <v>84.499999999999346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278"/>
      <c r="N606" s="278"/>
      <c r="O606" s="63"/>
      <c r="P606" s="348"/>
      <c r="Q606" s="338"/>
      <c r="R606" s="63"/>
      <c r="T606" s="278"/>
      <c r="U606" s="63"/>
      <c r="V606" s="349"/>
      <c r="W606" s="63"/>
      <c r="X606" s="63"/>
    </row>
    <row r="607" spans="1:24" ht="15.75">
      <c r="A607" s="3" t="s">
        <v>3407</v>
      </c>
      <c r="B607" s="3"/>
      <c r="C607" s="3"/>
      <c r="D607" s="33">
        <f t="shared" si="17"/>
        <v>180.30000000000035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63"/>
      <c r="N607" s="63"/>
      <c r="O607" s="63"/>
      <c r="P607" s="361"/>
      <c r="Q607" s="338"/>
      <c r="R607" s="63"/>
      <c r="T607" s="63"/>
      <c r="U607" s="63"/>
      <c r="V607" s="348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175.40000000000066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278"/>
      <c r="N608" s="278"/>
      <c r="O608" s="63"/>
      <c r="P608" s="349"/>
      <c r="Q608" s="338"/>
      <c r="R608" s="63"/>
      <c r="T608" s="63"/>
      <c r="U608" s="63"/>
      <c r="V608" s="349"/>
      <c r="W608" s="63"/>
      <c r="X608" s="63"/>
    </row>
    <row r="609" spans="1:24" ht="15.75">
      <c r="A609" s="3" t="s">
        <v>790</v>
      </c>
      <c r="B609" s="3"/>
      <c r="C609" s="3"/>
      <c r="D609" s="33">
        <f t="shared" si="17"/>
        <v>212.99999999999929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63"/>
      <c r="N609" s="63"/>
      <c r="O609" s="63"/>
      <c r="P609" s="348"/>
      <c r="Q609" s="338"/>
      <c r="R609" s="63"/>
      <c r="T609" s="278"/>
      <c r="U609" s="63"/>
      <c r="V609" s="349"/>
      <c r="W609" s="63"/>
      <c r="X609" s="63"/>
    </row>
    <row r="610" spans="1:24" ht="15.75">
      <c r="A610" s="3" t="s">
        <v>3391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63"/>
      <c r="N610" s="63"/>
      <c r="O610" s="63"/>
      <c r="P610" s="361"/>
      <c r="Q610" s="338"/>
      <c r="R610" s="63"/>
      <c r="T610" s="278"/>
      <c r="U610" s="63"/>
      <c r="V610" s="348"/>
      <c r="W610" s="63"/>
      <c r="X610" s="63"/>
    </row>
    <row r="611" spans="1:24" ht="15.75">
      <c r="A611" s="3" t="s">
        <v>755</v>
      </c>
      <c r="B611" s="3"/>
      <c r="C611" s="3"/>
      <c r="D611" s="33">
        <f t="shared" si="17"/>
        <v>178.10000000000022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63"/>
      <c r="N611" s="63"/>
      <c r="O611" s="63"/>
      <c r="P611" s="348"/>
      <c r="Q611" s="338"/>
      <c r="R611" s="63"/>
      <c r="T611" s="63"/>
      <c r="U611" s="63"/>
      <c r="V611" s="349"/>
      <c r="W611" s="63"/>
      <c r="X611" s="63"/>
    </row>
    <row r="612" spans="1:24" ht="15.75">
      <c r="A612" s="3" t="s">
        <v>782</v>
      </c>
      <c r="B612" s="3"/>
      <c r="C612" s="3"/>
      <c r="D612" s="33">
        <f t="shared" si="17"/>
        <v>105.59999999999982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63"/>
      <c r="N612" s="63"/>
      <c r="O612" s="63"/>
      <c r="P612" s="349"/>
      <c r="Q612" s="338"/>
      <c r="R612" s="63"/>
      <c r="T612" s="278"/>
      <c r="U612" s="63"/>
      <c r="V612" s="349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327.79999999999916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63"/>
      <c r="N613" s="63"/>
      <c r="O613" s="63"/>
      <c r="P613" s="348"/>
      <c r="Q613" s="338"/>
      <c r="R613" s="63"/>
      <c r="T613" s="278"/>
      <c r="U613" s="63"/>
      <c r="V613" s="348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28"/>
      <c r="N614" s="28"/>
      <c r="O614" s="63"/>
      <c r="P614" s="348"/>
      <c r="Q614" s="338"/>
      <c r="R614" s="63"/>
      <c r="T614" s="278"/>
      <c r="U614" s="63"/>
      <c r="V614" s="348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156.40000000000191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278"/>
      <c r="N615" s="278"/>
      <c r="O615" s="63"/>
      <c r="P615" s="348"/>
      <c r="Q615" s="338"/>
      <c r="R615" s="63"/>
      <c r="T615" s="63"/>
      <c r="U615" s="63"/>
      <c r="V615" s="348"/>
      <c r="W615" s="63"/>
      <c r="X615" s="63"/>
    </row>
    <row r="616" spans="1:24" ht="15.75">
      <c r="A616" s="82" t="s">
        <v>1662</v>
      </c>
      <c r="B616" s="3"/>
      <c r="C616" s="3"/>
      <c r="D616" s="33">
        <f t="shared" si="17"/>
        <v>161.89999999999941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225"/>
      <c r="N616" s="225"/>
      <c r="O616" s="63"/>
      <c r="P616" s="348"/>
      <c r="Q616" s="338"/>
      <c r="R616" s="63"/>
      <c r="T616" s="63"/>
      <c r="U616" s="63"/>
      <c r="V616" s="348"/>
      <c r="W616" s="63"/>
      <c r="X616" s="63"/>
    </row>
    <row r="617" spans="1:24" ht="15.75">
      <c r="A617" s="60" t="s">
        <v>2034</v>
      </c>
      <c r="B617" s="3"/>
      <c r="C617" s="3"/>
      <c r="D617" s="33">
        <f t="shared" si="17"/>
        <v>125.90000000000009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278"/>
      <c r="N617" s="278"/>
      <c r="O617" s="63"/>
      <c r="P617" s="348"/>
      <c r="Q617" s="338"/>
      <c r="R617" s="63"/>
      <c r="T617" s="63"/>
      <c r="U617" s="63"/>
      <c r="V617" s="349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84.599999999999568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63"/>
      <c r="N618" s="63"/>
      <c r="O618" s="63"/>
      <c r="P618" s="361"/>
      <c r="Q618" s="338"/>
      <c r="R618" s="63"/>
      <c r="T618" s="278"/>
      <c r="U618" s="63"/>
      <c r="V618" s="348"/>
      <c r="W618" s="63"/>
      <c r="X618" s="63"/>
    </row>
    <row r="619" spans="1:24" ht="15.75">
      <c r="A619" s="3" t="s">
        <v>3403</v>
      </c>
      <c r="B619" s="3"/>
      <c r="C619" s="3"/>
      <c r="D619" s="33">
        <f t="shared" si="17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63"/>
      <c r="N619" s="63"/>
      <c r="O619" s="63"/>
      <c r="P619" s="361"/>
      <c r="Q619" s="338"/>
      <c r="R619" s="63"/>
      <c r="T619" s="278"/>
      <c r="U619" s="63"/>
      <c r="V619" s="348"/>
      <c r="W619" s="63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225"/>
      <c r="N620" s="225"/>
      <c r="O620" s="63"/>
      <c r="P620" s="348"/>
      <c r="Q620" s="338"/>
      <c r="R620" s="63"/>
      <c r="T620" s="28"/>
      <c r="U620" s="63"/>
      <c r="V620" s="348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373.89999999999975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28"/>
      <c r="N621" s="28"/>
      <c r="O621" s="63"/>
      <c r="P621" s="348"/>
      <c r="Q621" s="338"/>
      <c r="R621" s="63"/>
      <c r="T621" s="225"/>
      <c r="U621" s="63"/>
      <c r="V621" s="348"/>
      <c r="W621" s="63"/>
      <c r="X621" s="63"/>
    </row>
    <row r="622" spans="1:24" ht="15.75">
      <c r="A622" s="3" t="s">
        <v>753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63"/>
      <c r="N622" s="63"/>
      <c r="O622" s="63"/>
      <c r="P622" s="348"/>
      <c r="Q622" s="338"/>
      <c r="R622" s="63"/>
      <c r="T622" s="278"/>
      <c r="U622" s="63"/>
      <c r="V622" s="348"/>
      <c r="W622" s="63"/>
      <c r="X622" s="63"/>
    </row>
    <row r="623" spans="1:24" ht="15.75">
      <c r="A623" s="60" t="s">
        <v>3374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278"/>
      <c r="N623" s="278"/>
      <c r="O623" s="63"/>
      <c r="P623" s="349"/>
      <c r="Q623" s="338"/>
      <c r="R623" s="63"/>
      <c r="T623" s="278"/>
      <c r="U623" s="63"/>
      <c r="V623" s="348"/>
      <c r="W623" s="63"/>
      <c r="X623" s="63"/>
    </row>
    <row r="624" spans="1:24" ht="15.75">
      <c r="A624" s="60" t="s">
        <v>2012</v>
      </c>
      <c r="B624" s="3"/>
      <c r="C624" s="3"/>
      <c r="D624" s="33">
        <f>SUM(E624:DZ624)</f>
        <v>215.10000000000122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278"/>
      <c r="N624" s="278"/>
      <c r="O624" s="63"/>
      <c r="P624" s="348"/>
      <c r="Q624" s="338"/>
      <c r="R624" s="63"/>
      <c r="T624" s="28"/>
      <c r="U624" s="63"/>
      <c r="V624" s="348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4801</v>
      </c>
      <c r="F628" s="110" t="s">
        <v>4814</v>
      </c>
      <c r="G628" s="110" t="s">
        <v>5072</v>
      </c>
      <c r="H628" s="110" t="s">
        <v>5073</v>
      </c>
    </row>
    <row r="629" spans="1:35" ht="15.75">
      <c r="A629" s="3" t="s">
        <v>3386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9">
        <v>0</v>
      </c>
      <c r="H629" s="9">
        <v>0</v>
      </c>
      <c r="I629" s="63"/>
      <c r="J629" s="361"/>
      <c r="K629" s="338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2014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63"/>
      <c r="J630" s="348"/>
      <c r="K630" s="338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63"/>
      <c r="J631" s="348"/>
      <c r="K631" s="338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2007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63"/>
      <c r="J632" s="348"/>
      <c r="K632" s="338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63"/>
      <c r="J633" s="348"/>
      <c r="K633" s="338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63"/>
      <c r="J634" s="348"/>
      <c r="K634" s="338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3375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63"/>
      <c r="J635" s="361"/>
      <c r="K635" s="338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63"/>
      <c r="J636" s="348"/>
      <c r="K636" s="338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2027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63"/>
      <c r="J637" s="348"/>
      <c r="K637" s="338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3394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63"/>
      <c r="J638" s="361"/>
      <c r="K638" s="338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63"/>
      <c r="J639" s="348"/>
      <c r="K639" s="338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63"/>
      <c r="J640" s="348"/>
      <c r="K640" s="338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2057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9">
        <v>0</v>
      </c>
      <c r="H641" s="9">
        <v>0</v>
      </c>
      <c r="I641" s="63"/>
      <c r="J641" s="348"/>
      <c r="K641" s="338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63"/>
      <c r="J642" s="348"/>
      <c r="K642" s="338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2010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63"/>
      <c r="J643" s="348"/>
      <c r="K643" s="338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3376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63"/>
      <c r="J644" s="361"/>
      <c r="K644" s="338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63"/>
      <c r="J645" s="348"/>
      <c r="K645" s="338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2028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63"/>
      <c r="J646" s="348"/>
      <c r="K646" s="338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3379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63"/>
      <c r="J647" s="361"/>
      <c r="K647" s="338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3393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63"/>
      <c r="J648" s="361"/>
      <c r="K648" s="338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63"/>
      <c r="J649" s="349"/>
      <c r="K649" s="338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2022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63"/>
      <c r="J650" s="348"/>
      <c r="K650" s="338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63"/>
      <c r="J651" s="348"/>
      <c r="K651" s="338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3377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63"/>
      <c r="J652" s="361"/>
      <c r="K652" s="338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2029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63"/>
      <c r="J653" s="348"/>
      <c r="K653" s="338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63"/>
      <c r="J654" s="348"/>
      <c r="K654" s="338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63"/>
      <c r="J655" s="348"/>
      <c r="K655" s="338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2015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63"/>
      <c r="J656" s="348"/>
      <c r="K656" s="338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3387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9">
        <v>0</v>
      </c>
      <c r="H657" s="9">
        <v>0</v>
      </c>
      <c r="I657" s="63"/>
      <c r="J657" s="361"/>
      <c r="K657" s="338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63"/>
      <c r="J658" s="349"/>
      <c r="K658" s="338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63"/>
      <c r="J659" s="349"/>
      <c r="K659" s="338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63"/>
      <c r="J660" s="348"/>
      <c r="K660" s="338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63"/>
      <c r="J661" s="348"/>
      <c r="K661" s="338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3402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63"/>
      <c r="J662" s="361"/>
      <c r="K662" s="338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2011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9">
        <v>0</v>
      </c>
      <c r="H663" s="9">
        <v>0</v>
      </c>
      <c r="I663" s="63"/>
      <c r="J663" s="349"/>
      <c r="K663" s="338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63"/>
      <c r="J664" s="348"/>
      <c r="K664" s="338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63"/>
      <c r="J665" s="348"/>
      <c r="K665" s="338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63"/>
      <c r="J666" s="348"/>
      <c r="K666" s="338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3381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63"/>
      <c r="J667" s="361"/>
      <c r="K667" s="338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3406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63"/>
      <c r="J668" s="361"/>
      <c r="K668" s="338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3384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63"/>
      <c r="J669" s="361"/>
      <c r="K669" s="338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9">
        <v>0</v>
      </c>
      <c r="H670" s="9">
        <v>0</v>
      </c>
      <c r="I670" s="63"/>
      <c r="J670" s="348"/>
      <c r="K670" s="338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3380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63"/>
      <c r="J671" s="361"/>
      <c r="K671" s="338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63"/>
      <c r="J672" s="348"/>
      <c r="K672" s="338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4520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63"/>
      <c r="J673" s="348"/>
      <c r="K673" s="338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63"/>
      <c r="J674" s="348"/>
      <c r="K674" s="338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63"/>
      <c r="J675" s="348"/>
      <c r="K675" s="338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63"/>
      <c r="J676" s="348"/>
      <c r="K676" s="338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3373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63"/>
      <c r="J677" s="349"/>
      <c r="K677" s="338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2030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63"/>
      <c r="J678" s="348"/>
      <c r="K678" s="338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3383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63"/>
      <c r="J679" s="361"/>
      <c r="K679" s="338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2031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63"/>
      <c r="J680" s="348"/>
      <c r="K680" s="338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63"/>
      <c r="J681" s="348"/>
      <c r="K681" s="338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63"/>
      <c r="J682" s="348"/>
      <c r="K682" s="338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3382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63"/>
      <c r="J683" s="361"/>
      <c r="K683" s="338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3389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63"/>
      <c r="J684" s="361"/>
      <c r="K684" s="338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63"/>
      <c r="J685" s="348"/>
      <c r="K685" s="338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9">
        <v>0</v>
      </c>
      <c r="H686" s="9">
        <v>0</v>
      </c>
      <c r="I686" s="63"/>
      <c r="J686" s="348"/>
      <c r="K686" s="338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63"/>
      <c r="J687" s="348"/>
      <c r="K687" s="338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63"/>
      <c r="J688" s="348"/>
      <c r="K688" s="338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63"/>
      <c r="J689" s="349"/>
      <c r="K689" s="338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3378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63"/>
      <c r="J690" s="361"/>
      <c r="K690" s="338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63"/>
      <c r="J691" s="348"/>
      <c r="K691" s="338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63"/>
      <c r="J692" s="349"/>
      <c r="K692" s="338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63"/>
      <c r="J693" s="349"/>
      <c r="K693" s="338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63"/>
      <c r="J694" s="348"/>
      <c r="K694" s="338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3390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63"/>
      <c r="J695" s="361"/>
      <c r="K695" s="338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63"/>
      <c r="J696" s="349"/>
      <c r="K696" s="338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63"/>
      <c r="J697" s="348"/>
      <c r="K697" s="338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63"/>
      <c r="J698" s="348"/>
      <c r="K698" s="338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63"/>
      <c r="J699" s="348"/>
      <c r="K699" s="338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3405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63"/>
      <c r="J700" s="361"/>
      <c r="K700" s="338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63"/>
      <c r="J701" s="348"/>
      <c r="K701" s="338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2054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63"/>
      <c r="J702" s="348"/>
      <c r="K702" s="338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63"/>
      <c r="J703" s="348"/>
      <c r="K703" s="338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63"/>
      <c r="J704" s="348"/>
      <c r="K704" s="338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2056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9">
        <v>0</v>
      </c>
      <c r="H705" s="9">
        <v>0</v>
      </c>
      <c r="I705" s="63"/>
      <c r="J705" s="348"/>
      <c r="K705" s="338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2161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63"/>
      <c r="J706" s="348"/>
      <c r="K706" s="338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3385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63"/>
      <c r="J707" s="361"/>
      <c r="K707" s="338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63"/>
      <c r="J708" s="348"/>
      <c r="K708" s="338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3388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63"/>
      <c r="J709" s="361"/>
      <c r="K709" s="338"/>
      <c r="L709" s="63"/>
    </row>
    <row r="710" spans="1:35" ht="15.75">
      <c r="A710" s="60" t="s">
        <v>2006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63"/>
      <c r="J710" s="348"/>
      <c r="K710" s="338"/>
      <c r="L710" s="63"/>
    </row>
    <row r="711" spans="1:35" ht="15.75">
      <c r="A711" s="3" t="s">
        <v>3407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63"/>
      <c r="J711" s="361"/>
      <c r="K711" s="338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63"/>
      <c r="J712" s="349"/>
      <c r="K712" s="338"/>
      <c r="L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63"/>
      <c r="J713" s="348"/>
      <c r="K713" s="338"/>
      <c r="L713" s="63"/>
    </row>
    <row r="714" spans="1:35" ht="15.75">
      <c r="A714" s="3" t="s">
        <v>3391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9">
        <v>0</v>
      </c>
      <c r="H714" s="9">
        <v>0</v>
      </c>
      <c r="I714" s="63"/>
      <c r="J714" s="361"/>
      <c r="K714" s="338"/>
      <c r="L714" s="63"/>
    </row>
    <row r="715" spans="1:35" ht="15.75">
      <c r="A715" s="3" t="s">
        <v>755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9">
        <v>0</v>
      </c>
      <c r="H715" s="9">
        <v>0</v>
      </c>
      <c r="I715" s="63"/>
      <c r="J715" s="348"/>
      <c r="K715" s="338"/>
      <c r="L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63"/>
      <c r="J716" s="349"/>
      <c r="K716" s="338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63"/>
      <c r="J717" s="348"/>
      <c r="K717" s="338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63"/>
      <c r="J718" s="348"/>
      <c r="K718" s="338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63"/>
      <c r="J719" s="348"/>
      <c r="K719" s="338"/>
      <c r="L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63"/>
      <c r="J720" s="348"/>
      <c r="K720" s="338"/>
      <c r="L720" s="63"/>
    </row>
    <row r="721" spans="1:12" ht="15.75">
      <c r="A721" s="60" t="s">
        <v>2034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63"/>
      <c r="J721" s="348"/>
      <c r="K721" s="338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63"/>
      <c r="J722" s="361"/>
      <c r="K722" s="338"/>
      <c r="L722" s="63"/>
    </row>
    <row r="723" spans="1:12" ht="15.75">
      <c r="A723" s="3" t="s">
        <v>3403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63"/>
      <c r="J723" s="361"/>
      <c r="K723" s="338"/>
      <c r="L723" s="63"/>
    </row>
    <row r="724" spans="1:12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63"/>
      <c r="J724" s="348"/>
      <c r="K724" s="338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63"/>
      <c r="J725" s="348"/>
      <c r="K725" s="338"/>
      <c r="L725" s="63"/>
    </row>
    <row r="726" spans="1:12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63"/>
      <c r="J726" s="348"/>
      <c r="K726" s="338"/>
      <c r="L726" s="63"/>
    </row>
    <row r="727" spans="1:12" ht="15.75">
      <c r="A727" s="60" t="s">
        <v>3374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63"/>
      <c r="J727" s="349"/>
      <c r="K727" s="338"/>
      <c r="L727" s="63"/>
    </row>
    <row r="728" spans="1:12" ht="15.75">
      <c r="A728" s="60" t="s">
        <v>2012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63"/>
      <c r="J728" s="348"/>
      <c r="K728" s="338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2292</v>
      </c>
    </row>
    <row r="733" spans="1:12" ht="15.75">
      <c r="A733" s="3" t="s">
        <v>3386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2014</v>
      </c>
      <c r="B734" s="3"/>
      <c r="C734" s="3"/>
      <c r="D734" s="33">
        <f t="shared" si="21"/>
        <v>0</v>
      </c>
      <c r="E734" s="9"/>
    </row>
    <row r="735" spans="1:12" ht="15.75">
      <c r="A735" s="82" t="s">
        <v>1657</v>
      </c>
      <c r="B735" s="3"/>
      <c r="C735" s="3"/>
      <c r="D735" s="33">
        <f t="shared" si="21"/>
        <v>0</v>
      </c>
      <c r="E735" s="9"/>
    </row>
    <row r="736" spans="1:12" ht="15.75">
      <c r="A736" s="60" t="s">
        <v>2007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3375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2027</v>
      </c>
      <c r="B741" s="3"/>
      <c r="C741" s="3"/>
      <c r="D741" s="33">
        <f t="shared" si="21"/>
        <v>0</v>
      </c>
      <c r="E741" s="9"/>
    </row>
    <row r="742" spans="1:5" ht="15.75">
      <c r="A742" s="3" t="s">
        <v>3394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2057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2010</v>
      </c>
      <c r="B747" s="3"/>
      <c r="C747" s="3"/>
      <c r="D747" s="33">
        <f t="shared" si="21"/>
        <v>0</v>
      </c>
      <c r="E747" s="9"/>
    </row>
    <row r="748" spans="1:5" ht="15.75">
      <c r="A748" s="3" t="s">
        <v>3376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2028</v>
      </c>
      <c r="B750" s="3"/>
      <c r="C750" s="3"/>
      <c r="D750" s="33">
        <f t="shared" si="21"/>
        <v>0</v>
      </c>
      <c r="E750" s="9"/>
    </row>
    <row r="751" spans="1:5" ht="15.75">
      <c r="A751" s="3" t="s">
        <v>3379</v>
      </c>
      <c r="B751" s="3"/>
      <c r="C751" s="3"/>
      <c r="D751" s="33">
        <f t="shared" si="21"/>
        <v>0</v>
      </c>
      <c r="E751" s="9"/>
    </row>
    <row r="752" spans="1:5" ht="15.75">
      <c r="A752" s="3" t="s">
        <v>3393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2022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3377</v>
      </c>
      <c r="B756" s="3"/>
      <c r="C756" s="3"/>
      <c r="D756" s="33">
        <f t="shared" si="21"/>
        <v>0</v>
      </c>
      <c r="E756" s="9"/>
    </row>
    <row r="757" spans="1:5" ht="15.75">
      <c r="A757" s="60" t="s">
        <v>2029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2015</v>
      </c>
      <c r="B760" s="3"/>
      <c r="C760" s="3"/>
      <c r="D760" s="33">
        <f t="shared" si="21"/>
        <v>0</v>
      </c>
      <c r="E760" s="9"/>
    </row>
    <row r="761" spans="1:5" ht="15.75">
      <c r="A761" s="3" t="s">
        <v>3387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3402</v>
      </c>
      <c r="B766" s="3"/>
      <c r="C766" s="3"/>
      <c r="D766" s="33">
        <f t="shared" si="22"/>
        <v>0</v>
      </c>
      <c r="E766" s="9"/>
    </row>
    <row r="767" spans="1:5" ht="15.75">
      <c r="A767" s="60" t="s">
        <v>2011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3381</v>
      </c>
      <c r="B771" s="3"/>
      <c r="C771" s="3"/>
      <c r="D771" s="33">
        <f t="shared" si="22"/>
        <v>0</v>
      </c>
      <c r="E771" s="9"/>
    </row>
    <row r="772" spans="1:5" ht="15.75">
      <c r="A772" s="3" t="s">
        <v>3406</v>
      </c>
      <c r="B772" s="3"/>
      <c r="C772" s="3"/>
      <c r="D772" s="33">
        <f t="shared" si="22"/>
        <v>0</v>
      </c>
      <c r="E772" s="9"/>
    </row>
    <row r="773" spans="1:5" ht="15.75">
      <c r="A773" s="3" t="s">
        <v>3384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3380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4520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3373</v>
      </c>
      <c r="B781" s="3"/>
      <c r="C781" s="3"/>
      <c r="D781" s="33">
        <f t="shared" si="22"/>
        <v>0</v>
      </c>
      <c r="E781" s="9"/>
    </row>
    <row r="782" spans="1:5" ht="15.75">
      <c r="A782" s="60" t="s">
        <v>2030</v>
      </c>
      <c r="B782" s="3"/>
      <c r="C782" s="3"/>
      <c r="D782" s="33">
        <f t="shared" si="22"/>
        <v>0</v>
      </c>
      <c r="E782" s="9"/>
    </row>
    <row r="783" spans="1:5" ht="15.75">
      <c r="A783" s="3" t="s">
        <v>3383</v>
      </c>
      <c r="B783" s="3"/>
      <c r="C783" s="3"/>
      <c r="D783" s="33">
        <f t="shared" si="22"/>
        <v>0</v>
      </c>
      <c r="E783" s="9"/>
    </row>
    <row r="784" spans="1:5" ht="15.75">
      <c r="A784" s="60" t="s">
        <v>2031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3382</v>
      </c>
      <c r="B787" s="3"/>
      <c r="C787" s="3"/>
      <c r="D787" s="33">
        <f t="shared" si="22"/>
        <v>0</v>
      </c>
      <c r="E787" s="9"/>
    </row>
    <row r="788" spans="1:5" ht="15.75">
      <c r="A788" s="3" t="s">
        <v>3389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3378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3390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3405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2054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2056</v>
      </c>
      <c r="B809" s="3"/>
      <c r="C809" s="3"/>
      <c r="D809" s="33">
        <f t="shared" si="23"/>
        <v>0</v>
      </c>
      <c r="E809" s="9"/>
    </row>
    <row r="810" spans="1:5" ht="15.75">
      <c r="A810" s="60" t="s">
        <v>2161</v>
      </c>
      <c r="B810" s="3"/>
      <c r="C810" s="3"/>
      <c r="D810" s="33">
        <f t="shared" si="23"/>
        <v>0</v>
      </c>
      <c r="E810" s="9"/>
    </row>
    <row r="811" spans="1:5" ht="15.75">
      <c r="A811" s="3" t="s">
        <v>3385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3388</v>
      </c>
      <c r="B813" s="3"/>
      <c r="C813" s="3"/>
      <c r="D813" s="33">
        <f t="shared" si="23"/>
        <v>0</v>
      </c>
      <c r="E813" s="9"/>
    </row>
    <row r="814" spans="1:5" ht="15.75">
      <c r="A814" s="60" t="s">
        <v>2006</v>
      </c>
      <c r="B814" s="3"/>
      <c r="C814" s="3"/>
      <c r="D814" s="33">
        <f t="shared" si="23"/>
        <v>0</v>
      </c>
      <c r="E814" s="9"/>
    </row>
    <row r="815" spans="1:5" ht="15.75">
      <c r="A815" s="3" t="s">
        <v>3407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3391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2034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3403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3374</v>
      </c>
      <c r="B831" s="3"/>
      <c r="C831" s="3"/>
      <c r="D831" s="33">
        <f t="shared" si="24"/>
        <v>0</v>
      </c>
      <c r="E831" s="9"/>
    </row>
    <row r="832" spans="1:5" ht="15.75">
      <c r="A832" s="60" t="s">
        <v>2012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2012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1" t="s">
        <v>4823</v>
      </c>
      <c r="M2" s="42"/>
      <c r="N2" s="461" t="s">
        <v>843</v>
      </c>
      <c r="R2" s="42"/>
      <c r="S2" s="461" t="s">
        <v>2210</v>
      </c>
      <c r="W2" s="42"/>
      <c r="X2" s="461" t="s">
        <v>186</v>
      </c>
      <c r="AB2" s="42"/>
      <c r="AC2" s="461" t="s">
        <v>175</v>
      </c>
      <c r="AE2" s="461"/>
      <c r="AG2" s="42"/>
      <c r="AH2" s="461" t="s">
        <v>187</v>
      </c>
      <c r="AJ2" s="461"/>
      <c r="AL2" s="42"/>
      <c r="AM2" s="461" t="s">
        <v>188</v>
      </c>
      <c r="AO2" s="461"/>
      <c r="AQ2" s="42"/>
      <c r="AR2" s="461" t="s">
        <v>2212</v>
      </c>
      <c r="AT2" s="461"/>
      <c r="AV2" s="42"/>
      <c r="AW2" s="461" t="s">
        <v>2211</v>
      </c>
      <c r="AY2" s="461"/>
      <c r="BA2" s="42"/>
      <c r="BB2" s="461" t="s">
        <v>3536</v>
      </c>
      <c r="BC2"/>
      <c r="BD2" s="461"/>
      <c r="BF2" s="42"/>
      <c r="BG2" s="461" t="s">
        <v>190</v>
      </c>
      <c r="BI2" s="461"/>
      <c r="BK2" s="42"/>
      <c r="BL2" s="461" t="s">
        <v>191</v>
      </c>
      <c r="BN2" s="461"/>
      <c r="BP2" s="42"/>
      <c r="BQ2" s="461" t="s">
        <v>192</v>
      </c>
      <c r="BS2" s="461"/>
      <c r="BU2" s="42"/>
      <c r="BV2" s="461" t="s">
        <v>195</v>
      </c>
      <c r="BX2" s="461"/>
      <c r="BZ2" s="42"/>
      <c r="CA2" s="461" t="s">
        <v>193</v>
      </c>
      <c r="CC2" s="461"/>
      <c r="CE2" s="42"/>
      <c r="CF2" s="461" t="s">
        <v>194</v>
      </c>
      <c r="CH2" s="461"/>
      <c r="CJ2" s="42"/>
      <c r="CK2" s="461" t="s">
        <v>176</v>
      </c>
      <c r="CM2" s="461"/>
      <c r="CO2" s="42"/>
      <c r="CP2" s="461" t="s">
        <v>196</v>
      </c>
      <c r="CR2" s="461"/>
      <c r="CT2" s="42"/>
      <c r="CU2" s="461" t="s">
        <v>197</v>
      </c>
      <c r="CW2" s="461"/>
      <c r="CY2" s="42"/>
      <c r="CZ2" s="461" t="s">
        <v>198</v>
      </c>
      <c r="DB2" s="461"/>
      <c r="DD2" s="42"/>
      <c r="DE2" s="461" t="s">
        <v>199</v>
      </c>
      <c r="DG2" s="461"/>
      <c r="DI2" s="42"/>
      <c r="DJ2" s="461" t="s">
        <v>200</v>
      </c>
      <c r="DL2" s="461"/>
      <c r="DN2" s="42"/>
      <c r="DO2" s="461" t="s">
        <v>201</v>
      </c>
      <c r="DQ2" s="461"/>
      <c r="DS2" s="42"/>
      <c r="DT2" s="461" t="s">
        <v>202</v>
      </c>
      <c r="DV2" s="461"/>
      <c r="DX2" s="42"/>
      <c r="DY2" s="461" t="s">
        <v>203</v>
      </c>
      <c r="EA2" s="461"/>
      <c r="EC2" s="42"/>
      <c r="ED2" s="461" t="s">
        <v>4818</v>
      </c>
      <c r="EF2" s="461"/>
      <c r="EH2" s="42"/>
      <c r="EI2" s="461" t="s">
        <v>205</v>
      </c>
      <c r="EK2" s="461"/>
      <c r="EM2" s="42"/>
      <c r="EN2" s="461" t="s">
        <v>206</v>
      </c>
      <c r="EP2" s="461"/>
      <c r="ER2" s="42"/>
      <c r="ES2" s="461" t="s">
        <v>207</v>
      </c>
      <c r="EU2" s="461"/>
      <c r="EW2" s="42"/>
      <c r="EX2" s="461" t="s">
        <v>208</v>
      </c>
      <c r="EZ2" s="461"/>
      <c r="FB2" s="42"/>
      <c r="FC2" s="461" t="s">
        <v>347</v>
      </c>
      <c r="FE2" s="461"/>
      <c r="FG2" s="42"/>
      <c r="FH2" s="461" t="s">
        <v>209</v>
      </c>
      <c r="FJ2" s="461"/>
      <c r="FL2" s="42"/>
      <c r="FM2" s="461" t="s">
        <v>210</v>
      </c>
      <c r="FO2" s="461"/>
      <c r="FQ2" s="42"/>
      <c r="FR2" s="461" t="s">
        <v>211</v>
      </c>
      <c r="FT2" s="461"/>
      <c r="FV2" s="42"/>
      <c r="FW2" s="461" t="s">
        <v>212</v>
      </c>
      <c r="FY2" s="461"/>
      <c r="GA2" s="42"/>
      <c r="GB2" s="461" t="s">
        <v>213</v>
      </c>
      <c r="GD2" s="461"/>
      <c r="GF2" s="42"/>
      <c r="GG2" s="461" t="s">
        <v>214</v>
      </c>
      <c r="GI2" s="461"/>
      <c r="GK2" s="42"/>
      <c r="GL2" s="461" t="s">
        <v>215</v>
      </c>
      <c r="GN2" s="461"/>
      <c r="GP2" s="42"/>
      <c r="GQ2" s="461" t="s">
        <v>352</v>
      </c>
      <c r="GS2" s="461"/>
      <c r="GU2" s="42"/>
      <c r="GV2" s="461" t="s">
        <v>2357</v>
      </c>
      <c r="GX2" s="461"/>
      <c r="GZ2" s="461"/>
      <c r="HI2" s="461"/>
      <c r="HR2" s="461"/>
      <c r="IA2" s="461"/>
      <c r="IJ2" s="461"/>
      <c r="IS2" s="461"/>
      <c r="JB2" s="461"/>
      <c r="JK2" s="461"/>
      <c r="JT2" s="461"/>
      <c r="KC2" s="461"/>
      <c r="KL2" s="461"/>
      <c r="KU2" s="461"/>
      <c r="LD2" s="461"/>
      <c r="LM2" s="461"/>
      <c r="LV2" s="461"/>
      <c r="ME2" s="461"/>
      <c r="MN2" s="461"/>
      <c r="MW2" s="461"/>
      <c r="NF2" s="461"/>
      <c r="NO2" s="461"/>
      <c r="NX2" s="461"/>
      <c r="NY2" t="s">
        <v>2357</v>
      </c>
    </row>
    <row r="3" spans="1:396" s="21" customFormat="1" ht="18" customHeight="1">
      <c r="A3" s="38"/>
      <c r="B3" s="45"/>
      <c r="C3" s="42"/>
      <c r="D3" s="466">
        <v>2020</v>
      </c>
      <c r="E3" s="466">
        <v>2021</v>
      </c>
      <c r="F3" s="466">
        <v>2022</v>
      </c>
      <c r="G3" s="466">
        <v>2023</v>
      </c>
      <c r="H3" s="42"/>
      <c r="I3" s="466">
        <v>2020</v>
      </c>
      <c r="J3" s="466">
        <v>2021</v>
      </c>
      <c r="K3" s="466">
        <v>2022</v>
      </c>
      <c r="L3" s="466">
        <v>2023</v>
      </c>
      <c r="M3" s="42"/>
      <c r="N3" s="466">
        <v>2020</v>
      </c>
      <c r="O3" s="466">
        <v>2021</v>
      </c>
      <c r="P3" s="466">
        <v>2022</v>
      </c>
      <c r="Q3" s="466">
        <v>2023</v>
      </c>
      <c r="R3" s="42"/>
      <c r="S3" s="466">
        <v>2020</v>
      </c>
      <c r="T3" s="466">
        <v>2021</v>
      </c>
      <c r="U3" s="466">
        <v>2022</v>
      </c>
      <c r="V3" s="466">
        <v>2023</v>
      </c>
      <c r="W3" s="42"/>
      <c r="X3" s="466">
        <v>2020</v>
      </c>
      <c r="Y3" s="466">
        <v>2021</v>
      </c>
      <c r="Z3" s="466">
        <v>2022</v>
      </c>
      <c r="AA3" s="466">
        <v>2023</v>
      </c>
      <c r="AB3" s="42"/>
      <c r="AC3" s="466">
        <v>2020</v>
      </c>
      <c r="AD3" s="466">
        <v>2021</v>
      </c>
      <c r="AE3" s="466">
        <v>2022</v>
      </c>
      <c r="AF3" s="466">
        <v>2023</v>
      </c>
      <c r="AG3" s="42"/>
      <c r="AH3" s="466">
        <v>2020</v>
      </c>
      <c r="AI3" s="466">
        <v>2021</v>
      </c>
      <c r="AJ3" s="466">
        <v>2022</v>
      </c>
      <c r="AK3" s="466">
        <v>2023</v>
      </c>
      <c r="AL3" s="42"/>
      <c r="AM3" s="466">
        <v>2020</v>
      </c>
      <c r="AN3" s="466">
        <v>2021</v>
      </c>
      <c r="AO3" s="466">
        <v>2022</v>
      </c>
      <c r="AP3" s="466">
        <v>2023</v>
      </c>
      <c r="AQ3" s="42"/>
      <c r="AR3" s="466">
        <v>2020</v>
      </c>
      <c r="AS3" s="466">
        <v>2021</v>
      </c>
      <c r="AT3" s="466">
        <v>2022</v>
      </c>
      <c r="AU3" s="466">
        <v>2023</v>
      </c>
      <c r="AV3" s="42"/>
      <c r="AW3" s="466">
        <v>2020</v>
      </c>
      <c r="AX3" s="466">
        <v>2021</v>
      </c>
      <c r="AY3" s="466">
        <v>2022</v>
      </c>
      <c r="AZ3" s="466">
        <v>2023</v>
      </c>
      <c r="BA3" s="42"/>
      <c r="BB3" s="466">
        <v>2020</v>
      </c>
      <c r="BC3" s="466">
        <v>2021</v>
      </c>
      <c r="BD3" s="466">
        <v>2022</v>
      </c>
      <c r="BE3" s="466">
        <v>2023</v>
      </c>
      <c r="BF3" s="42"/>
      <c r="BG3" s="466">
        <v>2020</v>
      </c>
      <c r="BH3" s="466">
        <v>2021</v>
      </c>
      <c r="BI3" s="466">
        <v>2022</v>
      </c>
      <c r="BJ3" s="466">
        <v>2023</v>
      </c>
      <c r="BK3" s="42"/>
      <c r="BL3" s="466">
        <v>2020</v>
      </c>
      <c r="BM3" s="466">
        <v>2021</v>
      </c>
      <c r="BN3" s="466">
        <v>2022</v>
      </c>
      <c r="BO3" s="466">
        <v>2023</v>
      </c>
      <c r="BP3" s="42"/>
      <c r="BQ3" s="466">
        <v>2020</v>
      </c>
      <c r="BR3" s="466">
        <v>2021</v>
      </c>
      <c r="BS3" s="466">
        <v>2022</v>
      </c>
      <c r="BT3" s="466">
        <v>2023</v>
      </c>
      <c r="BU3" s="42"/>
      <c r="BV3" s="466">
        <v>2019</v>
      </c>
      <c r="BW3" s="466">
        <v>2020</v>
      </c>
      <c r="BX3" s="466">
        <v>2021</v>
      </c>
      <c r="BY3" s="466">
        <v>2022</v>
      </c>
      <c r="BZ3" s="42"/>
      <c r="CA3" s="466">
        <v>2019</v>
      </c>
      <c r="CB3" s="466">
        <v>2020</v>
      </c>
      <c r="CC3" s="466">
        <v>2021</v>
      </c>
      <c r="CD3" s="466">
        <v>2022</v>
      </c>
      <c r="CE3" s="42"/>
      <c r="CF3" s="466">
        <v>2019</v>
      </c>
      <c r="CG3" s="466">
        <v>2020</v>
      </c>
      <c r="CH3" s="466">
        <v>2021</v>
      </c>
      <c r="CI3" s="466">
        <v>2022</v>
      </c>
      <c r="CJ3" s="42"/>
      <c r="CK3" s="466">
        <v>2019</v>
      </c>
      <c r="CL3" s="466">
        <v>2020</v>
      </c>
      <c r="CM3" s="466">
        <v>2021</v>
      </c>
      <c r="CN3" s="466">
        <v>2022</v>
      </c>
      <c r="CO3" s="42"/>
      <c r="CP3" s="466">
        <v>2019</v>
      </c>
      <c r="CQ3" s="466">
        <v>2020</v>
      </c>
      <c r="CR3" s="466">
        <v>2021</v>
      </c>
      <c r="CS3" s="466">
        <v>2022</v>
      </c>
      <c r="CT3" s="42"/>
      <c r="CU3" s="466">
        <v>2019</v>
      </c>
      <c r="CV3" s="466">
        <v>2020</v>
      </c>
      <c r="CW3" s="466">
        <v>2021</v>
      </c>
      <c r="CX3" s="466">
        <v>2022</v>
      </c>
      <c r="CY3" s="42"/>
      <c r="CZ3" s="466">
        <v>2019</v>
      </c>
      <c r="DA3" s="466">
        <v>2020</v>
      </c>
      <c r="DB3" s="466">
        <v>2021</v>
      </c>
      <c r="DC3" s="466">
        <v>2022</v>
      </c>
      <c r="DD3" s="42"/>
      <c r="DE3" s="466">
        <v>2019</v>
      </c>
      <c r="DF3" s="466">
        <v>2020</v>
      </c>
      <c r="DG3" s="466">
        <v>2021</v>
      </c>
      <c r="DH3" s="466">
        <v>2022</v>
      </c>
      <c r="DI3" s="42"/>
      <c r="DJ3" s="466">
        <v>2019</v>
      </c>
      <c r="DK3" s="466">
        <v>2020</v>
      </c>
      <c r="DL3" s="466">
        <v>2021</v>
      </c>
      <c r="DM3" s="466">
        <v>2022</v>
      </c>
      <c r="DN3" s="42"/>
      <c r="DO3" s="466">
        <v>2019</v>
      </c>
      <c r="DP3" s="466">
        <v>2020</v>
      </c>
      <c r="DQ3" s="466">
        <v>2021</v>
      </c>
      <c r="DR3" s="466">
        <v>2022</v>
      </c>
      <c r="DS3" s="42"/>
      <c r="DT3" s="466">
        <v>2019</v>
      </c>
      <c r="DU3" s="466">
        <v>2020</v>
      </c>
      <c r="DV3" s="466">
        <v>2021</v>
      </c>
      <c r="DW3" s="466">
        <v>2022</v>
      </c>
      <c r="DX3" s="42"/>
      <c r="DY3" s="466">
        <v>2019</v>
      </c>
      <c r="DZ3" s="466">
        <v>2020</v>
      </c>
      <c r="EA3" s="466">
        <v>2021</v>
      </c>
      <c r="EB3" s="466">
        <v>2022</v>
      </c>
      <c r="EC3" s="42"/>
      <c r="ED3" s="466">
        <v>2019</v>
      </c>
      <c r="EE3" s="466">
        <v>2020</v>
      </c>
      <c r="EF3" s="466">
        <v>2021</v>
      </c>
      <c r="EG3" s="466">
        <v>2022</v>
      </c>
      <c r="EH3" s="42"/>
      <c r="EI3" s="466">
        <v>2019</v>
      </c>
      <c r="EJ3" s="466">
        <v>2020</v>
      </c>
      <c r="EK3" s="466">
        <v>2021</v>
      </c>
      <c r="EL3" s="466">
        <v>2022</v>
      </c>
      <c r="EM3" s="42"/>
      <c r="EN3" s="466">
        <v>2019</v>
      </c>
      <c r="EO3" s="466">
        <v>2020</v>
      </c>
      <c r="EP3" s="466">
        <v>2021</v>
      </c>
      <c r="EQ3" s="466">
        <v>2022</v>
      </c>
      <c r="ER3" s="42"/>
      <c r="ES3" s="466">
        <v>2019</v>
      </c>
      <c r="ET3" s="466">
        <v>2020</v>
      </c>
      <c r="EU3" s="466">
        <v>2021</v>
      </c>
      <c r="EV3" s="466">
        <v>2022</v>
      </c>
      <c r="EW3" s="42"/>
      <c r="EX3" s="466">
        <v>2019</v>
      </c>
      <c r="EY3" s="466">
        <v>2020</v>
      </c>
      <c r="EZ3" s="466">
        <v>2021</v>
      </c>
      <c r="FA3" s="466">
        <v>2022</v>
      </c>
      <c r="FB3" s="42"/>
      <c r="FC3" s="466">
        <v>2019</v>
      </c>
      <c r="FD3" s="466">
        <v>2020</v>
      </c>
      <c r="FE3" s="466">
        <v>2021</v>
      </c>
      <c r="FF3" s="466">
        <v>2022</v>
      </c>
      <c r="FG3" s="42"/>
      <c r="FH3" s="466">
        <v>2019</v>
      </c>
      <c r="FI3" s="466">
        <v>2020</v>
      </c>
      <c r="FJ3" s="466">
        <v>2021</v>
      </c>
      <c r="FK3" s="466">
        <v>2022</v>
      </c>
      <c r="FL3" s="42"/>
      <c r="FM3" s="466">
        <v>2019</v>
      </c>
      <c r="FN3" s="466">
        <v>2020</v>
      </c>
      <c r="FO3" s="466">
        <v>2021</v>
      </c>
      <c r="FP3" s="466">
        <v>2022</v>
      </c>
      <c r="FQ3" s="42"/>
      <c r="FR3" s="466">
        <v>2019</v>
      </c>
      <c r="FS3" s="466">
        <v>2020</v>
      </c>
      <c r="FT3" s="466">
        <v>2021</v>
      </c>
      <c r="FU3" s="466">
        <v>2022</v>
      </c>
      <c r="FV3" s="42"/>
      <c r="FW3" s="466">
        <v>2019</v>
      </c>
      <c r="FX3" s="466">
        <v>2020</v>
      </c>
      <c r="FY3" s="466">
        <v>2021</v>
      </c>
      <c r="FZ3" s="466">
        <v>2022</v>
      </c>
      <c r="GA3" s="42"/>
      <c r="GB3" s="466">
        <v>2019</v>
      </c>
      <c r="GC3" s="466">
        <v>2020</v>
      </c>
      <c r="GD3" s="466">
        <v>2021</v>
      </c>
      <c r="GE3" s="466">
        <v>2022</v>
      </c>
      <c r="GF3" s="42"/>
      <c r="GG3" s="466">
        <v>2019</v>
      </c>
      <c r="GH3" s="466">
        <v>2020</v>
      </c>
      <c r="GI3" s="466">
        <v>2021</v>
      </c>
      <c r="GJ3" s="466">
        <v>2022</v>
      </c>
      <c r="GK3" s="42"/>
      <c r="GL3" s="466">
        <v>2019</v>
      </c>
      <c r="GM3" s="466">
        <v>2020</v>
      </c>
      <c r="GN3" s="466">
        <v>2021</v>
      </c>
      <c r="GO3" s="466">
        <v>2022</v>
      </c>
      <c r="GP3" s="42"/>
      <c r="GQ3" s="466">
        <v>2019</v>
      </c>
      <c r="GR3" s="466">
        <v>2020</v>
      </c>
      <c r="GS3" s="466">
        <v>2021</v>
      </c>
      <c r="GT3" s="466">
        <v>2022</v>
      </c>
      <c r="GU3" s="42"/>
      <c r="GV3" s="466">
        <v>2019</v>
      </c>
      <c r="GW3" s="466">
        <v>2020</v>
      </c>
      <c r="GX3" s="466">
        <v>2021</v>
      </c>
      <c r="GY3" s="466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5">
        <v>0.25</v>
      </c>
      <c r="E4" s="465">
        <v>0.5</v>
      </c>
      <c r="F4" s="465">
        <v>0.75</v>
      </c>
      <c r="G4" s="465">
        <v>1</v>
      </c>
      <c r="H4" s="42"/>
      <c r="I4" s="465">
        <v>0.25</v>
      </c>
      <c r="J4" s="465">
        <v>0.5</v>
      </c>
      <c r="K4" s="465">
        <v>0.75</v>
      </c>
      <c r="L4" s="465">
        <v>1</v>
      </c>
      <c r="M4" s="42"/>
      <c r="N4" s="465">
        <v>0.25</v>
      </c>
      <c r="O4" s="465">
        <v>0.5</v>
      </c>
      <c r="P4" s="465">
        <v>0.75</v>
      </c>
      <c r="Q4" s="465">
        <v>1</v>
      </c>
      <c r="R4" s="42"/>
      <c r="S4" s="465">
        <v>0.25</v>
      </c>
      <c r="T4" s="465">
        <v>0.5</v>
      </c>
      <c r="U4" s="465">
        <v>0.75</v>
      </c>
      <c r="V4" s="465">
        <v>1</v>
      </c>
      <c r="W4" s="42"/>
      <c r="X4" s="465">
        <v>0.25</v>
      </c>
      <c r="Y4" s="465">
        <v>0.5</v>
      </c>
      <c r="Z4" s="465">
        <v>0.75</v>
      </c>
      <c r="AA4" s="465">
        <v>1</v>
      </c>
      <c r="AB4" s="42"/>
      <c r="AC4" s="465">
        <v>0.25</v>
      </c>
      <c r="AD4" s="465">
        <v>0.5</v>
      </c>
      <c r="AE4" s="465">
        <v>0.75</v>
      </c>
      <c r="AF4" s="465">
        <v>1</v>
      </c>
      <c r="AG4" s="42"/>
      <c r="AH4" s="465">
        <v>0.25</v>
      </c>
      <c r="AI4" s="465">
        <v>0.5</v>
      </c>
      <c r="AJ4" s="465">
        <v>0.75</v>
      </c>
      <c r="AK4" s="465">
        <v>1</v>
      </c>
      <c r="AL4" s="42"/>
      <c r="AM4" s="465">
        <v>0.25</v>
      </c>
      <c r="AN4" s="465">
        <v>0.5</v>
      </c>
      <c r="AO4" s="465">
        <v>0.75</v>
      </c>
      <c r="AP4" s="465">
        <v>1</v>
      </c>
      <c r="AQ4" s="42"/>
      <c r="AR4" s="465">
        <v>0.25</v>
      </c>
      <c r="AS4" s="465">
        <v>0.5</v>
      </c>
      <c r="AT4" s="465">
        <v>0.75</v>
      </c>
      <c r="AU4" s="465">
        <v>1</v>
      </c>
      <c r="AV4" s="42"/>
      <c r="AW4" s="465">
        <v>0.25</v>
      </c>
      <c r="AX4" s="465">
        <v>0.5</v>
      </c>
      <c r="AY4" s="465">
        <v>0.75</v>
      </c>
      <c r="AZ4" s="465">
        <v>1</v>
      </c>
      <c r="BA4" s="42"/>
      <c r="BB4" s="465">
        <v>0.25</v>
      </c>
      <c r="BC4" s="465">
        <v>0.5</v>
      </c>
      <c r="BD4" s="465">
        <v>0.75</v>
      </c>
      <c r="BE4" s="465">
        <v>1</v>
      </c>
      <c r="BF4" s="42"/>
      <c r="BG4" s="465">
        <v>0.25</v>
      </c>
      <c r="BH4" s="465">
        <v>0.5</v>
      </c>
      <c r="BI4" s="465">
        <v>0.75</v>
      </c>
      <c r="BJ4" s="465">
        <v>1</v>
      </c>
      <c r="BK4" s="42"/>
      <c r="BL4" s="465">
        <v>0.25</v>
      </c>
      <c r="BM4" s="465">
        <v>0.5</v>
      </c>
      <c r="BN4" s="465">
        <v>0.75</v>
      </c>
      <c r="BO4" s="465">
        <v>1</v>
      </c>
      <c r="BP4" s="42"/>
      <c r="BQ4" s="465">
        <v>0.25</v>
      </c>
      <c r="BR4" s="465">
        <v>0.5</v>
      </c>
      <c r="BS4" s="465">
        <v>0.75</v>
      </c>
      <c r="BT4" s="465">
        <v>1</v>
      </c>
      <c r="BU4" s="42"/>
      <c r="BV4" s="465">
        <v>0.25</v>
      </c>
      <c r="BW4" s="465">
        <v>0.5</v>
      </c>
      <c r="BX4" s="465">
        <v>0.75</v>
      </c>
      <c r="BY4" s="465">
        <v>1</v>
      </c>
      <c r="BZ4" s="42"/>
      <c r="CA4" s="465">
        <v>0.25</v>
      </c>
      <c r="CB4" s="465">
        <v>0.5</v>
      </c>
      <c r="CC4" s="465">
        <v>0.75</v>
      </c>
      <c r="CD4" s="465">
        <v>1</v>
      </c>
      <c r="CE4" s="42"/>
      <c r="CF4" s="465">
        <v>0.25</v>
      </c>
      <c r="CG4" s="465">
        <v>0.5</v>
      </c>
      <c r="CH4" s="465">
        <v>0.75</v>
      </c>
      <c r="CI4" s="465">
        <v>1</v>
      </c>
      <c r="CJ4" s="42"/>
      <c r="CK4" s="465">
        <v>0.25</v>
      </c>
      <c r="CL4" s="465">
        <v>0.5</v>
      </c>
      <c r="CM4" s="465">
        <v>0.75</v>
      </c>
      <c r="CN4" s="465">
        <v>1</v>
      </c>
      <c r="CO4" s="42"/>
      <c r="CP4" s="465">
        <v>0.25</v>
      </c>
      <c r="CQ4" s="465">
        <v>0.5</v>
      </c>
      <c r="CR4" s="465">
        <v>0.75</v>
      </c>
      <c r="CS4" s="465">
        <v>1</v>
      </c>
      <c r="CT4" s="42"/>
      <c r="CU4" s="465">
        <v>0.25</v>
      </c>
      <c r="CV4" s="465">
        <v>0.5</v>
      </c>
      <c r="CW4" s="465">
        <v>0.75</v>
      </c>
      <c r="CX4" s="465">
        <v>1</v>
      </c>
      <c r="CY4" s="42"/>
      <c r="CZ4" s="465">
        <v>0.25</v>
      </c>
      <c r="DA4" s="465">
        <v>0.5</v>
      </c>
      <c r="DB4" s="465">
        <v>0.75</v>
      </c>
      <c r="DC4" s="465">
        <v>1</v>
      </c>
      <c r="DD4" s="42"/>
      <c r="DE4" s="465">
        <v>0.25</v>
      </c>
      <c r="DF4" s="465">
        <v>0.5</v>
      </c>
      <c r="DG4" s="465">
        <v>0.75</v>
      </c>
      <c r="DH4" s="465">
        <v>1</v>
      </c>
      <c r="DI4" s="42"/>
      <c r="DJ4" s="465">
        <v>0.25</v>
      </c>
      <c r="DK4" s="465">
        <v>0.5</v>
      </c>
      <c r="DL4" s="465">
        <v>0.75</v>
      </c>
      <c r="DM4" s="465">
        <v>1</v>
      </c>
      <c r="DN4" s="42"/>
      <c r="DO4" s="465">
        <v>0.25</v>
      </c>
      <c r="DP4" s="465">
        <v>0.5</v>
      </c>
      <c r="DQ4" s="465">
        <v>0.75</v>
      </c>
      <c r="DR4" s="465">
        <v>1</v>
      </c>
      <c r="DS4" s="42"/>
      <c r="DT4" s="465">
        <v>0.25</v>
      </c>
      <c r="DU4" s="465">
        <v>0.5</v>
      </c>
      <c r="DV4" s="465">
        <v>0.75</v>
      </c>
      <c r="DW4" s="465">
        <v>1</v>
      </c>
      <c r="DX4" s="42"/>
      <c r="DY4" s="465">
        <v>0.25</v>
      </c>
      <c r="DZ4" s="465">
        <v>0.5</v>
      </c>
      <c r="EA4" s="465">
        <v>0.75</v>
      </c>
      <c r="EB4" s="465">
        <v>1</v>
      </c>
      <c r="EC4" s="42"/>
      <c r="ED4" s="465">
        <v>0.25</v>
      </c>
      <c r="EE4" s="465">
        <v>0.5</v>
      </c>
      <c r="EF4" s="465">
        <v>0.75</v>
      </c>
      <c r="EG4" s="465">
        <v>1</v>
      </c>
      <c r="EH4" s="42"/>
      <c r="EI4" s="465">
        <v>0.25</v>
      </c>
      <c r="EJ4" s="465">
        <v>0.5</v>
      </c>
      <c r="EK4" s="465">
        <v>0.75</v>
      </c>
      <c r="EL4" s="465">
        <v>1</v>
      </c>
      <c r="EM4" s="42"/>
      <c r="EN4" s="465">
        <v>0.25</v>
      </c>
      <c r="EO4" s="465">
        <v>0.5</v>
      </c>
      <c r="EP4" s="465">
        <v>0.75</v>
      </c>
      <c r="EQ4" s="465">
        <v>1</v>
      </c>
      <c r="ER4" s="42"/>
      <c r="ES4" s="465">
        <v>0.25</v>
      </c>
      <c r="ET4" s="465">
        <v>0.5</v>
      </c>
      <c r="EU4" s="465">
        <v>0.75</v>
      </c>
      <c r="EV4" s="465">
        <v>1</v>
      </c>
      <c r="EW4" s="42"/>
      <c r="EX4" s="465">
        <v>0.25</v>
      </c>
      <c r="EY4" s="465">
        <v>0.5</v>
      </c>
      <c r="EZ4" s="465">
        <v>0.75</v>
      </c>
      <c r="FA4" s="465">
        <v>1</v>
      </c>
      <c r="FB4" s="42"/>
      <c r="FC4" s="465">
        <v>0.25</v>
      </c>
      <c r="FD4" s="465">
        <v>0.5</v>
      </c>
      <c r="FE4" s="465">
        <v>0.75</v>
      </c>
      <c r="FF4" s="465">
        <v>1</v>
      </c>
      <c r="FG4" s="42"/>
      <c r="FH4" s="465">
        <v>0.25</v>
      </c>
      <c r="FI4" s="465">
        <v>0.5</v>
      </c>
      <c r="FJ4" s="465">
        <v>0.75</v>
      </c>
      <c r="FK4" s="465">
        <v>1</v>
      </c>
      <c r="FL4" s="42"/>
      <c r="FM4" s="465">
        <v>0.25</v>
      </c>
      <c r="FN4" s="465">
        <v>0.5</v>
      </c>
      <c r="FO4" s="465">
        <v>0.75</v>
      </c>
      <c r="FP4" s="465">
        <v>1</v>
      </c>
      <c r="FQ4" s="42"/>
      <c r="FR4" s="465">
        <v>0.25</v>
      </c>
      <c r="FS4" s="465">
        <v>0.5</v>
      </c>
      <c r="FT4" s="465">
        <v>0.75</v>
      </c>
      <c r="FU4" s="465">
        <v>1</v>
      </c>
      <c r="FV4" s="42"/>
      <c r="FW4" s="465">
        <v>0.25</v>
      </c>
      <c r="FX4" s="465">
        <v>0.5</v>
      </c>
      <c r="FY4" s="465">
        <v>0.75</v>
      </c>
      <c r="FZ4" s="465">
        <v>1</v>
      </c>
      <c r="GA4" s="42"/>
      <c r="GB4" s="465">
        <v>0.25</v>
      </c>
      <c r="GC4" s="465">
        <v>0.5</v>
      </c>
      <c r="GD4" s="465">
        <v>0.75</v>
      </c>
      <c r="GE4" s="465">
        <v>1</v>
      </c>
      <c r="GF4" s="470"/>
      <c r="GG4" s="465">
        <v>0.25</v>
      </c>
      <c r="GH4" s="465">
        <v>0.5</v>
      </c>
      <c r="GI4" s="465">
        <v>0.75</v>
      </c>
      <c r="GJ4" s="465">
        <v>1</v>
      </c>
      <c r="GK4" s="470"/>
      <c r="GL4" s="465">
        <v>0.25</v>
      </c>
      <c r="GM4" s="465">
        <v>0.5</v>
      </c>
      <c r="GN4" s="465">
        <v>0.75</v>
      </c>
      <c r="GO4" s="465">
        <v>1</v>
      </c>
      <c r="GP4" s="470"/>
      <c r="GQ4" s="465">
        <v>0.25</v>
      </c>
      <c r="GR4" s="465">
        <v>0.5</v>
      </c>
      <c r="GS4" s="465">
        <v>0.75</v>
      </c>
      <c r="GT4" s="465">
        <v>1</v>
      </c>
      <c r="GU4" s="470"/>
      <c r="GV4" s="465">
        <v>0.25</v>
      </c>
      <c r="GW4" s="465">
        <v>0.5</v>
      </c>
      <c r="GX4" s="465">
        <v>0.75</v>
      </c>
      <c r="GY4" s="465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2"/>
      <c r="AO5" s="37"/>
      <c r="AP5" s="462"/>
      <c r="AQ5" s="42"/>
      <c r="AR5" s="462"/>
      <c r="AS5" s="37"/>
      <c r="AT5" s="462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0"/>
      <c r="GG5" s="37"/>
      <c r="GH5" s="37"/>
      <c r="GI5" s="37"/>
      <c r="GJ5" s="37"/>
      <c r="GK5" s="470"/>
      <c r="GL5" s="37"/>
      <c r="GM5" s="37"/>
      <c r="GN5" s="37"/>
      <c r="GO5" s="37"/>
      <c r="GP5" s="470"/>
      <c r="GQ5" s="37"/>
      <c r="GR5" s="37"/>
      <c r="GS5" s="37"/>
      <c r="GT5" s="37"/>
      <c r="GU5" s="470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3386</v>
      </c>
      <c r="B6" s="46">
        <f t="shared" ref="B6:B37" si="0">SUM(D6:AAO6)</f>
        <v>5366.8000000000011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0"/>
      <c r="I6" s="50">
        <v>0</v>
      </c>
      <c r="J6" s="50">
        <v>0</v>
      </c>
      <c r="K6" s="50">
        <v>0</v>
      </c>
      <c r="L6" s="50">
        <f>'Punten per wedstrijd'!E5</f>
        <v>187.8</v>
      </c>
      <c r="M6" s="470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0"/>
      <c r="S6" s="458">
        <v>0</v>
      </c>
      <c r="T6" s="50">
        <v>0</v>
      </c>
      <c r="U6" s="508">
        <v>0</v>
      </c>
      <c r="V6" s="50">
        <f>'Punten per wedstrijd'!F5</f>
        <v>282.40000000000009</v>
      </c>
      <c r="W6" s="470"/>
      <c r="X6" s="50">
        <v>0</v>
      </c>
      <c r="Y6" s="50">
        <v>0</v>
      </c>
      <c r="Z6" s="50">
        <v>0</v>
      </c>
      <c r="AA6" s="50">
        <v>97.400000000000091</v>
      </c>
      <c r="AB6" s="470"/>
      <c r="AC6" s="50">
        <v>0</v>
      </c>
      <c r="AD6" s="50">
        <v>0</v>
      </c>
      <c r="AE6" s="50">
        <v>0</v>
      </c>
      <c r="AF6" s="50">
        <v>520.60000000000127</v>
      </c>
      <c r="AG6" s="470"/>
      <c r="AH6" s="50">
        <v>0</v>
      </c>
      <c r="AI6" s="50">
        <v>0</v>
      </c>
      <c r="AJ6" s="50">
        <v>0</v>
      </c>
      <c r="AK6" s="50">
        <v>449.80000000000155</v>
      </c>
      <c r="AL6" s="470"/>
      <c r="AM6" s="458">
        <v>0</v>
      </c>
      <c r="AN6" s="458">
        <v>0</v>
      </c>
      <c r="AO6" s="458">
        <v>0</v>
      </c>
      <c r="AP6" s="50">
        <v>488.20000000000073</v>
      </c>
      <c r="AQ6" s="470"/>
      <c r="AR6" s="50">
        <v>0</v>
      </c>
      <c r="AS6" s="50">
        <v>0</v>
      </c>
      <c r="AT6" s="50">
        <v>0</v>
      </c>
      <c r="AU6" s="50">
        <v>321.5</v>
      </c>
      <c r="AV6" s="470"/>
      <c r="AW6" s="50">
        <v>0</v>
      </c>
      <c r="AX6" s="50">
        <v>0</v>
      </c>
      <c r="AY6" s="50">
        <v>0</v>
      </c>
      <c r="AZ6" s="50">
        <v>484.49999999999818</v>
      </c>
      <c r="BA6" s="470"/>
      <c r="BB6" s="50">
        <v>0</v>
      </c>
      <c r="BC6" s="50">
        <v>0</v>
      </c>
      <c r="BD6" s="50">
        <v>0</v>
      </c>
      <c r="BE6" s="50">
        <v>400.09999999999997</v>
      </c>
      <c r="BF6" s="470"/>
      <c r="BG6" s="50">
        <v>0</v>
      </c>
      <c r="BH6" s="50">
        <v>0</v>
      </c>
      <c r="BI6" s="50">
        <v>0</v>
      </c>
      <c r="BJ6" s="50">
        <v>364.2</v>
      </c>
      <c r="BK6" s="470"/>
      <c r="BL6" s="50">
        <v>0</v>
      </c>
      <c r="BM6" s="50">
        <v>0</v>
      </c>
      <c r="BN6" s="50">
        <v>0</v>
      </c>
      <c r="BO6" s="518">
        <v>344.2</v>
      </c>
      <c r="BP6" s="470"/>
      <c r="BQ6" s="50">
        <v>0</v>
      </c>
      <c r="BR6" s="50">
        <v>0</v>
      </c>
      <c r="BS6" s="50">
        <v>0</v>
      </c>
      <c r="BT6" s="518">
        <v>444.29999999999927</v>
      </c>
      <c r="BU6" s="470"/>
      <c r="BV6" s="50">
        <v>0</v>
      </c>
      <c r="BW6" s="50">
        <v>0</v>
      </c>
      <c r="BX6" s="50">
        <v>0</v>
      </c>
      <c r="BY6" s="50">
        <v>0</v>
      </c>
      <c r="BZ6" s="470"/>
      <c r="CA6" s="50">
        <v>0</v>
      </c>
      <c r="CB6" s="50">
        <v>0</v>
      </c>
      <c r="CC6" s="50">
        <v>0</v>
      </c>
      <c r="CD6" s="50">
        <v>0</v>
      </c>
      <c r="CE6" s="470"/>
      <c r="CF6" s="50">
        <v>0</v>
      </c>
      <c r="CG6" s="50">
        <v>0</v>
      </c>
      <c r="CH6" s="50">
        <v>0</v>
      </c>
      <c r="CI6" s="50">
        <v>0</v>
      </c>
      <c r="CJ6" s="470"/>
      <c r="CK6" s="50">
        <v>0</v>
      </c>
      <c r="CL6" s="50">
        <v>0</v>
      </c>
      <c r="CM6" s="50">
        <v>0</v>
      </c>
      <c r="CN6" s="50">
        <v>0</v>
      </c>
      <c r="CO6" s="470"/>
      <c r="CP6" s="50">
        <v>0</v>
      </c>
      <c r="CQ6" s="50">
        <v>0</v>
      </c>
      <c r="CR6" s="50">
        <v>0</v>
      </c>
      <c r="CS6" s="50">
        <v>0</v>
      </c>
      <c r="CT6" s="470"/>
      <c r="CU6" s="50">
        <v>0</v>
      </c>
      <c r="CV6" s="50">
        <v>0</v>
      </c>
      <c r="CW6" s="50">
        <v>0</v>
      </c>
      <c r="CX6" s="50">
        <v>0</v>
      </c>
      <c r="CY6" s="470"/>
      <c r="CZ6" s="50">
        <v>0</v>
      </c>
      <c r="DA6" s="50">
        <v>0</v>
      </c>
      <c r="DB6" s="50">
        <v>0</v>
      </c>
      <c r="DC6" s="50">
        <v>0</v>
      </c>
      <c r="DD6" s="470"/>
      <c r="DE6" s="50">
        <v>0</v>
      </c>
      <c r="DF6" s="50">
        <v>0</v>
      </c>
      <c r="DG6" s="50">
        <v>0</v>
      </c>
      <c r="DH6" s="50">
        <v>0</v>
      </c>
      <c r="DI6" s="470"/>
      <c r="DJ6" s="50">
        <v>0</v>
      </c>
      <c r="DK6" s="50">
        <v>0</v>
      </c>
      <c r="DL6" s="50">
        <v>0</v>
      </c>
      <c r="DM6" s="50">
        <v>0</v>
      </c>
      <c r="DN6" s="470"/>
      <c r="DO6" s="50">
        <v>0</v>
      </c>
      <c r="DP6" s="50">
        <v>0</v>
      </c>
      <c r="DQ6" s="50">
        <v>0</v>
      </c>
      <c r="DR6" s="50">
        <v>0</v>
      </c>
      <c r="DS6" s="470"/>
      <c r="DT6" s="50">
        <v>0</v>
      </c>
      <c r="DU6" s="50">
        <v>0</v>
      </c>
      <c r="DV6" s="50">
        <v>0</v>
      </c>
      <c r="DW6" s="50">
        <v>0</v>
      </c>
      <c r="DX6" s="470"/>
      <c r="DY6" s="50">
        <v>0</v>
      </c>
      <c r="DZ6" s="50">
        <v>0</v>
      </c>
      <c r="EA6" s="50">
        <v>0</v>
      </c>
      <c r="EB6" s="50">
        <v>0</v>
      </c>
      <c r="EC6" s="470"/>
      <c r="ED6" s="50">
        <v>0</v>
      </c>
      <c r="EE6" s="50">
        <v>0</v>
      </c>
      <c r="EF6" s="50">
        <v>0</v>
      </c>
      <c r="EG6" s="50">
        <v>0</v>
      </c>
      <c r="EH6" s="470"/>
      <c r="EI6" s="50">
        <v>0</v>
      </c>
      <c r="EJ6" s="50">
        <v>0</v>
      </c>
      <c r="EK6" s="50">
        <v>0</v>
      </c>
      <c r="EL6" s="50">
        <v>0</v>
      </c>
      <c r="EM6" s="470"/>
      <c r="EN6" s="50">
        <v>0</v>
      </c>
      <c r="EO6" s="50">
        <v>0</v>
      </c>
      <c r="EP6" s="50">
        <v>0</v>
      </c>
      <c r="EQ6" s="50">
        <v>0</v>
      </c>
      <c r="ER6" s="470"/>
      <c r="ES6" s="50">
        <v>0</v>
      </c>
      <c r="ET6" s="50">
        <v>0</v>
      </c>
      <c r="EU6" s="50">
        <v>0</v>
      </c>
      <c r="EV6" s="50">
        <v>0</v>
      </c>
      <c r="EW6" s="470"/>
      <c r="EX6" s="50">
        <v>0</v>
      </c>
      <c r="EY6" s="50">
        <v>0</v>
      </c>
      <c r="EZ6" s="50">
        <v>0</v>
      </c>
      <c r="FA6" s="50">
        <v>0</v>
      </c>
      <c r="FB6" s="470"/>
      <c r="FC6" s="50">
        <v>0</v>
      </c>
      <c r="FD6" s="50">
        <v>0</v>
      </c>
      <c r="FE6" s="50">
        <v>0</v>
      </c>
      <c r="FF6" s="50">
        <v>0</v>
      </c>
      <c r="FG6" s="470"/>
      <c r="FH6" s="50">
        <v>0</v>
      </c>
      <c r="FI6" s="50">
        <v>0</v>
      </c>
      <c r="FJ6" s="50">
        <v>0</v>
      </c>
      <c r="FK6" s="50">
        <v>0</v>
      </c>
      <c r="FL6" s="470"/>
      <c r="FM6" s="50">
        <v>0</v>
      </c>
      <c r="FN6" s="50">
        <v>0</v>
      </c>
      <c r="FO6" s="50">
        <v>0</v>
      </c>
      <c r="FP6" s="50">
        <v>0</v>
      </c>
      <c r="FQ6" s="470"/>
      <c r="FR6" s="50">
        <v>0</v>
      </c>
      <c r="FS6" s="50">
        <v>0</v>
      </c>
      <c r="FT6" s="50">
        <v>0</v>
      </c>
      <c r="FU6" s="50">
        <v>0</v>
      </c>
      <c r="FV6" s="470"/>
      <c r="FW6" s="50">
        <v>0</v>
      </c>
      <c r="FX6" s="50">
        <v>0</v>
      </c>
      <c r="FY6" s="50">
        <v>0</v>
      </c>
      <c r="FZ6" s="50">
        <v>0</v>
      </c>
      <c r="GA6" s="470"/>
      <c r="GB6" s="50">
        <v>0</v>
      </c>
      <c r="GC6" s="50">
        <v>0</v>
      </c>
      <c r="GD6" s="50">
        <v>0</v>
      </c>
      <c r="GE6" s="50">
        <v>0</v>
      </c>
      <c r="GF6" s="470"/>
      <c r="GG6" s="50">
        <v>0</v>
      </c>
      <c r="GH6" s="50">
        <v>0</v>
      </c>
      <c r="GI6" s="50">
        <v>0</v>
      </c>
      <c r="GJ6" s="50">
        <v>0</v>
      </c>
      <c r="GK6" s="470"/>
      <c r="GL6" s="50">
        <v>0</v>
      </c>
      <c r="GM6" s="50">
        <v>0</v>
      </c>
      <c r="GN6" s="50">
        <v>0</v>
      </c>
      <c r="GO6" s="50">
        <v>0</v>
      </c>
      <c r="GP6" s="470"/>
      <c r="GQ6" s="50">
        <v>0</v>
      </c>
      <c r="GR6" s="50">
        <v>0</v>
      </c>
      <c r="GS6" s="50">
        <v>0</v>
      </c>
      <c r="GT6" s="50">
        <v>0</v>
      </c>
      <c r="GU6" s="470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2014</v>
      </c>
      <c r="B7" s="46">
        <f t="shared" si="0"/>
        <v>38363.424999999828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0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0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0"/>
      <c r="S7" s="458">
        <v>0</v>
      </c>
      <c r="T7" s="50">
        <v>33</v>
      </c>
      <c r="U7" s="508">
        <v>132.00000000000068</v>
      </c>
      <c r="V7" s="50">
        <f>'Punten per wedstrijd'!F6</f>
        <v>52.000000000000682</v>
      </c>
      <c r="W7" s="470"/>
      <c r="X7" s="50">
        <v>0</v>
      </c>
      <c r="Y7" s="50">
        <v>343.15</v>
      </c>
      <c r="Z7" s="50">
        <v>260.625</v>
      </c>
      <c r="AA7" s="50">
        <v>117.10000000000036</v>
      </c>
      <c r="AB7" s="470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70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0"/>
      <c r="AM7" s="458">
        <v>0</v>
      </c>
      <c r="AN7" s="458">
        <v>185.49999999999977</v>
      </c>
      <c r="AO7" s="458">
        <v>62.024999999999523</v>
      </c>
      <c r="AP7" s="50">
        <v>563.89999999999964</v>
      </c>
      <c r="AQ7" s="470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70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70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70"/>
      <c r="BG7" s="50">
        <v>0</v>
      </c>
      <c r="BH7" s="50">
        <v>78</v>
      </c>
      <c r="BI7" s="50">
        <v>231.5249999999985</v>
      </c>
      <c r="BJ7" s="50">
        <v>172</v>
      </c>
      <c r="BK7" s="470"/>
      <c r="BL7" s="50">
        <v>0</v>
      </c>
      <c r="BM7" s="50">
        <v>2.6000000000012733</v>
      </c>
      <c r="BN7" s="50">
        <v>0</v>
      </c>
      <c r="BO7" s="518">
        <v>0</v>
      </c>
      <c r="BP7" s="470"/>
      <c r="BQ7" s="50">
        <v>0</v>
      </c>
      <c r="BR7" s="50">
        <v>116.55000000000064</v>
      </c>
      <c r="BS7" s="50">
        <v>46.499999999998636</v>
      </c>
      <c r="BT7" s="518">
        <v>427.49999999999909</v>
      </c>
      <c r="BU7" s="470"/>
      <c r="BV7" s="50">
        <v>0</v>
      </c>
      <c r="BW7" s="50">
        <v>0</v>
      </c>
      <c r="BX7" s="50">
        <v>803.17500000000177</v>
      </c>
      <c r="BY7" s="50">
        <v>950.39999999999782</v>
      </c>
      <c r="BZ7" s="470"/>
      <c r="CA7" s="50">
        <v>0</v>
      </c>
      <c r="CB7" s="50">
        <v>0</v>
      </c>
      <c r="CC7" s="50">
        <v>137.99999999999181</v>
      </c>
      <c r="CD7" s="50">
        <v>137.89999999999691</v>
      </c>
      <c r="CE7" s="470"/>
      <c r="CF7" s="50">
        <v>0</v>
      </c>
      <c r="CG7" s="50">
        <v>0</v>
      </c>
      <c r="CH7" s="50">
        <v>267.97500000000082</v>
      </c>
      <c r="CI7" s="50">
        <v>7.6999999999989086</v>
      </c>
      <c r="CJ7" s="470"/>
      <c r="CK7" s="50">
        <v>0</v>
      </c>
      <c r="CL7" s="50">
        <v>0</v>
      </c>
      <c r="CM7" s="50">
        <v>419.77500000000191</v>
      </c>
      <c r="CN7" s="50">
        <v>391.79999999999654</v>
      </c>
      <c r="CO7" s="470"/>
      <c r="CP7" s="50">
        <v>0</v>
      </c>
      <c r="CQ7" s="50">
        <v>0</v>
      </c>
      <c r="CR7" s="50">
        <v>380.25000000000136</v>
      </c>
      <c r="CS7" s="50">
        <v>500.79999999999836</v>
      </c>
      <c r="CT7" s="470"/>
      <c r="CU7" s="50">
        <v>0</v>
      </c>
      <c r="CV7" s="50">
        <v>0</v>
      </c>
      <c r="CW7" s="50">
        <v>206.40000000000055</v>
      </c>
      <c r="CX7" s="50">
        <v>409.90000000000146</v>
      </c>
      <c r="CY7" s="470"/>
      <c r="CZ7" s="50">
        <v>0</v>
      </c>
      <c r="DA7" s="50">
        <v>0</v>
      </c>
      <c r="DB7" s="50">
        <v>0</v>
      </c>
      <c r="DC7" s="50">
        <v>183.00000000000182</v>
      </c>
      <c r="DD7" s="470"/>
      <c r="DE7" s="50">
        <v>0</v>
      </c>
      <c r="DF7" s="50">
        <v>0</v>
      </c>
      <c r="DG7" s="50">
        <v>2436.1499999999992</v>
      </c>
      <c r="DH7" s="50">
        <v>3025.0999999999995</v>
      </c>
      <c r="DI7" s="470"/>
      <c r="DJ7" s="50">
        <v>0</v>
      </c>
      <c r="DK7" s="50">
        <v>0</v>
      </c>
      <c r="DL7" s="50">
        <v>0</v>
      </c>
      <c r="DM7" s="50">
        <v>0</v>
      </c>
      <c r="DN7" s="470"/>
      <c r="DO7" s="50">
        <v>0</v>
      </c>
      <c r="DP7" s="50">
        <v>0</v>
      </c>
      <c r="DQ7" s="50">
        <v>264.14999999999918</v>
      </c>
      <c r="DR7" s="50">
        <v>302.40000000000327</v>
      </c>
      <c r="DS7" s="470"/>
      <c r="DT7" s="50">
        <v>0</v>
      </c>
      <c r="DU7" s="50">
        <v>0</v>
      </c>
      <c r="DV7" s="50">
        <v>459.674999999997</v>
      </c>
      <c r="DW7" s="50">
        <v>350.19999999999891</v>
      </c>
      <c r="DX7" s="470"/>
      <c r="DY7" s="50">
        <v>0</v>
      </c>
      <c r="DZ7" s="50">
        <v>0</v>
      </c>
      <c r="EA7" s="50">
        <v>2635.6499999998982</v>
      </c>
      <c r="EB7" s="50">
        <v>1715.49999999998</v>
      </c>
      <c r="EC7" s="470"/>
      <c r="ED7" s="50">
        <v>0</v>
      </c>
      <c r="EE7" s="50">
        <v>0</v>
      </c>
      <c r="EF7" s="50">
        <v>0</v>
      </c>
      <c r="EG7" s="50">
        <v>0</v>
      </c>
      <c r="EH7" s="470"/>
      <c r="EI7" s="50">
        <v>0</v>
      </c>
      <c r="EJ7" s="50">
        <v>0</v>
      </c>
      <c r="EK7" s="50">
        <v>83.549999999992906</v>
      </c>
      <c r="EL7" s="50">
        <v>304.10000000000036</v>
      </c>
      <c r="EM7" s="470"/>
      <c r="EN7" s="50">
        <v>0</v>
      </c>
      <c r="EO7" s="50">
        <v>0</v>
      </c>
      <c r="EP7" s="50">
        <v>47.774999999995089</v>
      </c>
      <c r="EQ7" s="50">
        <v>244.40000000000146</v>
      </c>
      <c r="ER7" s="470"/>
      <c r="ES7" s="50">
        <v>0</v>
      </c>
      <c r="ET7" s="50">
        <v>0</v>
      </c>
      <c r="EU7" s="50">
        <v>57.149999999995089</v>
      </c>
      <c r="EV7" s="50">
        <v>0</v>
      </c>
      <c r="EW7" s="470"/>
      <c r="EX7" s="50">
        <v>0</v>
      </c>
      <c r="EY7" s="50">
        <v>0</v>
      </c>
      <c r="EZ7" s="50">
        <v>0</v>
      </c>
      <c r="FA7" s="50">
        <v>206.40000000000146</v>
      </c>
      <c r="FB7" s="470"/>
      <c r="FC7" s="50">
        <v>0</v>
      </c>
      <c r="FD7" s="50">
        <v>0</v>
      </c>
      <c r="FE7" s="50">
        <v>2453.2500000000246</v>
      </c>
      <c r="FF7" s="50">
        <v>4374.7</v>
      </c>
      <c r="FG7" s="470"/>
      <c r="FH7" s="50">
        <v>0</v>
      </c>
      <c r="FI7" s="50">
        <v>0</v>
      </c>
      <c r="FJ7" s="50">
        <v>97.499999999994543</v>
      </c>
      <c r="FK7" s="50">
        <v>141.89999999999964</v>
      </c>
      <c r="FL7" s="470"/>
      <c r="FM7" s="50">
        <v>0</v>
      </c>
      <c r="FN7" s="50">
        <v>0</v>
      </c>
      <c r="FO7" s="50">
        <v>0</v>
      </c>
      <c r="FP7" s="50">
        <v>236.00000000000182</v>
      </c>
      <c r="FQ7" s="470"/>
      <c r="FR7" s="50">
        <v>0</v>
      </c>
      <c r="FS7" s="50">
        <v>0</v>
      </c>
      <c r="FT7" s="50">
        <v>0</v>
      </c>
      <c r="FU7" s="50">
        <v>247.89999999999782</v>
      </c>
      <c r="FV7" s="470"/>
      <c r="FW7" s="50">
        <v>0</v>
      </c>
      <c r="FX7" s="50">
        <v>0</v>
      </c>
      <c r="FY7" s="50">
        <v>0</v>
      </c>
      <c r="FZ7" s="50">
        <v>0</v>
      </c>
      <c r="GA7" s="470"/>
      <c r="GB7" s="50">
        <v>0</v>
      </c>
      <c r="GC7" s="50">
        <v>0</v>
      </c>
      <c r="GD7" s="50">
        <v>448.12499999999454</v>
      </c>
      <c r="GE7" s="50">
        <v>567.99999999999636</v>
      </c>
      <c r="GF7" s="470"/>
      <c r="GG7" s="50">
        <v>0</v>
      </c>
      <c r="GH7" s="50">
        <v>0</v>
      </c>
      <c r="GI7" s="50">
        <v>0</v>
      </c>
      <c r="GJ7" s="50">
        <v>0</v>
      </c>
      <c r="GK7" s="470"/>
      <c r="GL7" s="50">
        <v>0</v>
      </c>
      <c r="GM7" s="50">
        <v>0</v>
      </c>
      <c r="GN7" s="50">
        <v>542.24999999999727</v>
      </c>
      <c r="GO7" s="50">
        <v>642</v>
      </c>
      <c r="GP7" s="470"/>
      <c r="GQ7" s="50">
        <v>0</v>
      </c>
      <c r="GR7" s="50">
        <v>0</v>
      </c>
      <c r="GS7" s="50">
        <v>197.62499999999454</v>
      </c>
      <c r="GT7" s="50">
        <v>346.99999999999818</v>
      </c>
      <c r="GU7" s="470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45877.274999999834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0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0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0"/>
      <c r="S8" s="458">
        <v>61.649999999999977</v>
      </c>
      <c r="T8" s="50">
        <v>0</v>
      </c>
      <c r="U8" s="508">
        <v>210.22500000000014</v>
      </c>
      <c r="V8" s="50">
        <f>'Punten per wedstrijd'!F7</f>
        <v>335.00000000000023</v>
      </c>
      <c r="W8" s="470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0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70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0"/>
      <c r="AM8" s="458">
        <v>82.350000000000136</v>
      </c>
      <c r="AN8" s="458">
        <v>169.0499999999995</v>
      </c>
      <c r="AO8" s="458">
        <v>179.32499999999959</v>
      </c>
      <c r="AP8" s="50">
        <v>496.199999999998</v>
      </c>
      <c r="AQ8" s="470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70"/>
      <c r="AW8" s="50">
        <v>0</v>
      </c>
      <c r="AX8" s="50">
        <v>370.60000000000036</v>
      </c>
      <c r="AY8" s="50">
        <v>355.875</v>
      </c>
      <c r="AZ8" s="50">
        <v>698.10000000000036</v>
      </c>
      <c r="BA8" s="470"/>
      <c r="BB8" s="50">
        <v>0</v>
      </c>
      <c r="BC8" s="50">
        <v>50.200000000000728</v>
      </c>
      <c r="BD8" s="50">
        <v>225.97499999999809</v>
      </c>
      <c r="BE8" s="50">
        <v>392</v>
      </c>
      <c r="BF8" s="470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70"/>
      <c r="BL8" s="50">
        <v>0</v>
      </c>
      <c r="BM8" s="50">
        <v>88.850000000000364</v>
      </c>
      <c r="BN8" s="50">
        <v>265.72499999999877</v>
      </c>
      <c r="BO8" s="518">
        <v>381.2</v>
      </c>
      <c r="BP8" s="470"/>
      <c r="BQ8" s="50">
        <v>40.074999999999818</v>
      </c>
      <c r="BR8" s="50">
        <v>81.250000000000909</v>
      </c>
      <c r="BS8" s="50">
        <v>154.35000000000014</v>
      </c>
      <c r="BT8" s="518">
        <v>442.60000000000036</v>
      </c>
      <c r="BU8" s="470"/>
      <c r="BV8" s="50">
        <v>0</v>
      </c>
      <c r="BW8" s="50">
        <v>0</v>
      </c>
      <c r="BX8" s="50">
        <v>836.40000000000123</v>
      </c>
      <c r="BY8" s="50">
        <v>294.80000000000109</v>
      </c>
      <c r="BZ8" s="470"/>
      <c r="CA8" s="50">
        <v>0</v>
      </c>
      <c r="CB8" s="50">
        <v>0</v>
      </c>
      <c r="CC8" s="50">
        <v>69.599999999993997</v>
      </c>
      <c r="CD8" s="50">
        <v>130.00000000000182</v>
      </c>
      <c r="CE8" s="470"/>
      <c r="CF8" s="50">
        <v>0</v>
      </c>
      <c r="CG8" s="50">
        <v>0</v>
      </c>
      <c r="CH8" s="50">
        <v>365.47500000000082</v>
      </c>
      <c r="CI8" s="50">
        <v>190.39999999999964</v>
      </c>
      <c r="CJ8" s="470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0"/>
      <c r="CP8" s="50">
        <v>0</v>
      </c>
      <c r="CQ8" s="50">
        <v>146.59999999999854</v>
      </c>
      <c r="CR8" s="50">
        <v>373.125</v>
      </c>
      <c r="CS8" s="50">
        <v>233.80000000000109</v>
      </c>
      <c r="CT8" s="470"/>
      <c r="CU8" s="50">
        <v>0</v>
      </c>
      <c r="CV8" s="50">
        <v>0</v>
      </c>
      <c r="CW8" s="50">
        <v>252.82500000000027</v>
      </c>
      <c r="CX8" s="50">
        <v>328.50000000000273</v>
      </c>
      <c r="CY8" s="470"/>
      <c r="CZ8" s="50">
        <v>0</v>
      </c>
      <c r="DA8" s="50">
        <v>0</v>
      </c>
      <c r="DB8" s="50">
        <v>91.799999999990177</v>
      </c>
      <c r="DC8" s="50">
        <v>33.000000000002728</v>
      </c>
      <c r="DD8" s="470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0"/>
      <c r="DJ8" s="50">
        <v>0</v>
      </c>
      <c r="DK8" s="50">
        <v>0</v>
      </c>
      <c r="DL8" s="50">
        <v>0</v>
      </c>
      <c r="DM8" s="50">
        <v>0</v>
      </c>
      <c r="DN8" s="470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0"/>
      <c r="DT8" s="50">
        <v>0</v>
      </c>
      <c r="DU8" s="50">
        <v>0</v>
      </c>
      <c r="DV8" s="50">
        <v>388.12500000000136</v>
      </c>
      <c r="DW8" s="50">
        <v>284.59999999999854</v>
      </c>
      <c r="DX8" s="470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0"/>
      <c r="ED8" s="50">
        <v>0</v>
      </c>
      <c r="EE8" s="50">
        <v>0</v>
      </c>
      <c r="EF8" s="50">
        <v>0</v>
      </c>
      <c r="EG8" s="50">
        <v>0</v>
      </c>
      <c r="EH8" s="470"/>
      <c r="EI8" s="50">
        <v>0</v>
      </c>
      <c r="EJ8" s="50">
        <v>0</v>
      </c>
      <c r="EK8" s="50">
        <v>233.39999999999509</v>
      </c>
      <c r="EL8" s="50">
        <v>190.49999999999636</v>
      </c>
      <c r="EM8" s="470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0"/>
      <c r="ES8" s="50">
        <v>0</v>
      </c>
      <c r="ET8" s="50">
        <v>187.29999999999927</v>
      </c>
      <c r="EU8" s="50">
        <v>103.27499999999509</v>
      </c>
      <c r="EV8" s="50">
        <v>0</v>
      </c>
      <c r="EW8" s="470"/>
      <c r="EX8" s="50">
        <v>0</v>
      </c>
      <c r="EY8" s="50">
        <v>0</v>
      </c>
      <c r="EZ8" s="50">
        <v>0</v>
      </c>
      <c r="FA8" s="50">
        <v>298.89999999999418</v>
      </c>
      <c r="FB8" s="470"/>
      <c r="FC8" s="50">
        <v>0</v>
      </c>
      <c r="FD8" s="50">
        <v>1231.8500000000367</v>
      </c>
      <c r="FE8" s="50">
        <v>1556.6999999998652</v>
      </c>
      <c r="FF8" s="50">
        <v>2025.9</v>
      </c>
      <c r="FG8" s="470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0"/>
      <c r="FM8" s="50">
        <v>0</v>
      </c>
      <c r="FN8" s="50">
        <v>0</v>
      </c>
      <c r="FO8" s="50">
        <v>0</v>
      </c>
      <c r="FP8" s="50">
        <v>240.99999999999636</v>
      </c>
      <c r="FQ8" s="470"/>
      <c r="FR8" s="50">
        <v>0</v>
      </c>
      <c r="FS8" s="50">
        <v>0</v>
      </c>
      <c r="FT8" s="50">
        <v>0</v>
      </c>
      <c r="FU8" s="50">
        <v>363.99999999999272</v>
      </c>
      <c r="FV8" s="470"/>
      <c r="FW8" s="50">
        <v>0</v>
      </c>
      <c r="FX8" s="50">
        <v>0</v>
      </c>
      <c r="FY8" s="50">
        <v>0</v>
      </c>
      <c r="FZ8" s="50">
        <v>0</v>
      </c>
      <c r="GA8" s="470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0"/>
      <c r="GG8" s="50">
        <v>0</v>
      </c>
      <c r="GH8" s="50">
        <v>0</v>
      </c>
      <c r="GI8" s="50">
        <v>0</v>
      </c>
      <c r="GJ8" s="50">
        <v>0</v>
      </c>
      <c r="GK8" s="470"/>
      <c r="GL8" s="50">
        <v>0</v>
      </c>
      <c r="GM8" s="50">
        <v>276</v>
      </c>
      <c r="GN8" s="50">
        <v>685.79999999998472</v>
      </c>
      <c r="GO8" s="50">
        <v>763.99999999999636</v>
      </c>
      <c r="GP8" s="470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0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2007</v>
      </c>
      <c r="B9" s="46">
        <f t="shared" si="0"/>
        <v>29962.624999999967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0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0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0"/>
      <c r="S9" s="458">
        <v>0</v>
      </c>
      <c r="T9" s="50">
        <v>77.500000000000057</v>
      </c>
      <c r="U9" s="508">
        <v>188.62500000000017</v>
      </c>
      <c r="V9" s="50">
        <f>'Punten per wedstrijd'!F8</f>
        <v>205.70000000000027</v>
      </c>
      <c r="W9" s="470"/>
      <c r="X9" s="50">
        <v>0</v>
      </c>
      <c r="Y9" s="50">
        <v>261.49999999999989</v>
      </c>
      <c r="Z9" s="50">
        <v>97.5</v>
      </c>
      <c r="AA9" s="50">
        <v>239.79999999999973</v>
      </c>
      <c r="AB9" s="470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70"/>
      <c r="AH9" s="50">
        <v>0</v>
      </c>
      <c r="AI9" s="50">
        <v>391.4</v>
      </c>
      <c r="AJ9" s="50">
        <v>349.42500000000007</v>
      </c>
      <c r="AK9" s="50">
        <v>457.39999999999918</v>
      </c>
      <c r="AL9" s="470"/>
      <c r="AM9" s="458">
        <v>0</v>
      </c>
      <c r="AN9" s="458">
        <v>266.59999999999991</v>
      </c>
      <c r="AO9" s="458">
        <v>203.4749999999998</v>
      </c>
      <c r="AP9" s="50">
        <v>215.69999999999891</v>
      </c>
      <c r="AQ9" s="470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70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70"/>
      <c r="BB9" s="50">
        <v>0</v>
      </c>
      <c r="BC9" s="50">
        <v>85.649999999999864</v>
      </c>
      <c r="BD9" s="50">
        <v>136.12499999999966</v>
      </c>
      <c r="BE9" s="50">
        <v>342.2</v>
      </c>
      <c r="BF9" s="470"/>
      <c r="BG9" s="50">
        <v>0</v>
      </c>
      <c r="BH9" s="50">
        <v>135.99999999999977</v>
      </c>
      <c r="BI9" s="50">
        <v>29.249999999999659</v>
      </c>
      <c r="BJ9" s="50">
        <v>351.3</v>
      </c>
      <c r="BK9" s="470"/>
      <c r="BL9" s="50">
        <v>0</v>
      </c>
      <c r="BM9" s="50">
        <v>111.60000000000036</v>
      </c>
      <c r="BN9" s="50">
        <v>305.32499999999993</v>
      </c>
      <c r="BO9" s="518">
        <v>173.3</v>
      </c>
      <c r="BP9" s="470"/>
      <c r="BQ9" s="50">
        <v>0</v>
      </c>
      <c r="BR9" s="50">
        <v>129.60000000000036</v>
      </c>
      <c r="BS9" s="50">
        <v>388.04999999999905</v>
      </c>
      <c r="BT9" s="518">
        <v>281.89999999999964</v>
      </c>
      <c r="BU9" s="470"/>
      <c r="BV9" s="50">
        <v>0</v>
      </c>
      <c r="BW9" s="50">
        <v>0</v>
      </c>
      <c r="BX9" s="50">
        <v>117.90000000000055</v>
      </c>
      <c r="BY9" s="50">
        <v>696.99999999999909</v>
      </c>
      <c r="BZ9" s="470"/>
      <c r="CA9" s="50">
        <v>0</v>
      </c>
      <c r="CB9" s="50">
        <v>0</v>
      </c>
      <c r="CC9" s="50">
        <v>164.84999999999673</v>
      </c>
      <c r="CD9" s="50">
        <v>379.10000000000036</v>
      </c>
      <c r="CE9" s="470"/>
      <c r="CF9" s="50">
        <v>0</v>
      </c>
      <c r="CG9" s="50">
        <v>0</v>
      </c>
      <c r="CH9" s="50">
        <v>275.625</v>
      </c>
      <c r="CI9" s="50">
        <v>269.70000000000073</v>
      </c>
      <c r="CJ9" s="470"/>
      <c r="CK9" s="50">
        <v>0</v>
      </c>
      <c r="CL9" s="50">
        <v>0</v>
      </c>
      <c r="CM9" s="50">
        <v>226.94999999999959</v>
      </c>
      <c r="CN9" s="50">
        <v>336.5</v>
      </c>
      <c r="CO9" s="470"/>
      <c r="CP9" s="50">
        <v>0</v>
      </c>
      <c r="CQ9" s="50">
        <v>0</v>
      </c>
      <c r="CR9" s="50">
        <v>196.19999999999959</v>
      </c>
      <c r="CS9" s="50">
        <v>516.99999999999818</v>
      </c>
      <c r="CT9" s="470"/>
      <c r="CU9" s="50">
        <v>0</v>
      </c>
      <c r="CV9" s="50">
        <v>0</v>
      </c>
      <c r="CW9" s="50">
        <v>424.35000000000014</v>
      </c>
      <c r="CX9" s="50">
        <v>91.799999999999272</v>
      </c>
      <c r="CY9" s="470"/>
      <c r="CZ9" s="50">
        <v>0</v>
      </c>
      <c r="DA9" s="50">
        <v>0</v>
      </c>
      <c r="DB9" s="50">
        <v>190.125</v>
      </c>
      <c r="DC9" s="50">
        <v>285.99999999999909</v>
      </c>
      <c r="DD9" s="470"/>
      <c r="DE9" s="50">
        <v>0</v>
      </c>
      <c r="DF9" s="50">
        <v>0</v>
      </c>
      <c r="DG9" s="50">
        <v>2102.5499999999997</v>
      </c>
      <c r="DH9" s="50">
        <v>1724.3999999999996</v>
      </c>
      <c r="DI9" s="470"/>
      <c r="DJ9" s="50">
        <v>0</v>
      </c>
      <c r="DK9" s="50">
        <v>0</v>
      </c>
      <c r="DL9" s="50">
        <v>0</v>
      </c>
      <c r="DM9" s="50">
        <v>0</v>
      </c>
      <c r="DN9" s="470"/>
      <c r="DO9" s="50">
        <v>0</v>
      </c>
      <c r="DP9" s="50">
        <v>0</v>
      </c>
      <c r="DQ9" s="50">
        <v>409.19999999999891</v>
      </c>
      <c r="DR9" s="50">
        <v>249.59999999999673</v>
      </c>
      <c r="DS9" s="470"/>
      <c r="DT9" s="50">
        <v>0</v>
      </c>
      <c r="DU9" s="50">
        <v>0</v>
      </c>
      <c r="DV9" s="50">
        <v>117.375</v>
      </c>
      <c r="DW9" s="50">
        <v>579.30000000000109</v>
      </c>
      <c r="DX9" s="470"/>
      <c r="DY9" s="50">
        <v>0</v>
      </c>
      <c r="DZ9" s="50">
        <v>0</v>
      </c>
      <c r="EA9" s="50">
        <v>1717.8000000000093</v>
      </c>
      <c r="EB9" s="50">
        <v>1439.8999999999869</v>
      </c>
      <c r="EC9" s="470"/>
      <c r="ED9" s="50">
        <v>0</v>
      </c>
      <c r="EE9" s="50">
        <v>0</v>
      </c>
      <c r="EF9" s="50">
        <v>0</v>
      </c>
      <c r="EG9" s="50">
        <v>0</v>
      </c>
      <c r="EH9" s="470"/>
      <c r="EI9" s="50">
        <v>0</v>
      </c>
      <c r="EJ9" s="50">
        <v>0</v>
      </c>
      <c r="EK9" s="50">
        <v>69.075000000000273</v>
      </c>
      <c r="EL9" s="50">
        <v>209.79999999999927</v>
      </c>
      <c r="EM9" s="470"/>
      <c r="EN9" s="50">
        <v>0</v>
      </c>
      <c r="EO9" s="50">
        <v>0</v>
      </c>
      <c r="EP9" s="50">
        <v>236.92500000000109</v>
      </c>
      <c r="EQ9" s="50">
        <v>491.89999999999782</v>
      </c>
      <c r="ER9" s="470"/>
      <c r="ES9" s="50">
        <v>0</v>
      </c>
      <c r="ET9" s="50">
        <v>0</v>
      </c>
      <c r="EU9" s="50">
        <v>169.64999999999918</v>
      </c>
      <c r="EV9" s="50">
        <v>0</v>
      </c>
      <c r="EW9" s="470"/>
      <c r="EX9" s="50">
        <v>0</v>
      </c>
      <c r="EY9" s="50">
        <v>0</v>
      </c>
      <c r="EZ9" s="50">
        <v>0</v>
      </c>
      <c r="FA9" s="50">
        <v>229.49999999999636</v>
      </c>
      <c r="FB9" s="470"/>
      <c r="FC9" s="50">
        <v>0</v>
      </c>
      <c r="FD9" s="50">
        <v>0</v>
      </c>
      <c r="FE9" s="50">
        <v>1682.3250000000016</v>
      </c>
      <c r="FF9" s="50">
        <v>2562</v>
      </c>
      <c r="FG9" s="470"/>
      <c r="FH9" s="50">
        <v>0</v>
      </c>
      <c r="FI9" s="50">
        <v>0</v>
      </c>
      <c r="FJ9" s="50">
        <v>127.125</v>
      </c>
      <c r="FK9" s="50">
        <v>58.199999999998909</v>
      </c>
      <c r="FL9" s="470"/>
      <c r="FM9" s="50">
        <v>0</v>
      </c>
      <c r="FN9" s="50">
        <v>0</v>
      </c>
      <c r="FO9" s="50">
        <v>0</v>
      </c>
      <c r="FP9" s="50">
        <v>138</v>
      </c>
      <c r="FQ9" s="470"/>
      <c r="FR9" s="50">
        <v>0</v>
      </c>
      <c r="FS9" s="50">
        <v>0</v>
      </c>
      <c r="FT9" s="50">
        <v>0</v>
      </c>
      <c r="FU9" s="50">
        <v>29.899999999999636</v>
      </c>
      <c r="FV9" s="470"/>
      <c r="FW9" s="50">
        <v>0</v>
      </c>
      <c r="FX9" s="50">
        <v>0</v>
      </c>
      <c r="FY9" s="50">
        <v>0</v>
      </c>
      <c r="FZ9" s="50">
        <v>0</v>
      </c>
      <c r="GA9" s="470"/>
      <c r="GB9" s="50">
        <v>0</v>
      </c>
      <c r="GC9" s="50">
        <v>0</v>
      </c>
      <c r="GD9" s="50">
        <v>123.74999999999727</v>
      </c>
      <c r="GE9" s="50">
        <v>112.80000000000109</v>
      </c>
      <c r="GF9" s="470"/>
      <c r="GG9" s="50">
        <v>0</v>
      </c>
      <c r="GH9" s="50">
        <v>0</v>
      </c>
      <c r="GI9" s="50">
        <v>0</v>
      </c>
      <c r="GJ9" s="50">
        <v>0</v>
      </c>
      <c r="GK9" s="470"/>
      <c r="GL9" s="50">
        <v>0</v>
      </c>
      <c r="GM9" s="50">
        <v>0</v>
      </c>
      <c r="GN9" s="50">
        <v>563.39999999999509</v>
      </c>
      <c r="GO9" s="50">
        <v>1042.3999999999996</v>
      </c>
      <c r="GP9" s="470"/>
      <c r="GQ9" s="50">
        <v>0</v>
      </c>
      <c r="GR9" s="50">
        <v>0</v>
      </c>
      <c r="GS9" s="50">
        <v>167.62499999999454</v>
      </c>
      <c r="GT9" s="50">
        <v>249.5</v>
      </c>
      <c r="GU9" s="470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48051.274999999885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0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0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0"/>
      <c r="S10" s="458">
        <v>88.075000000000102</v>
      </c>
      <c r="T10" s="50">
        <v>82.25</v>
      </c>
      <c r="U10" s="508">
        <v>214.27500000000055</v>
      </c>
      <c r="V10" s="50">
        <f>'Punten per wedstrijd'!F9</f>
        <v>174.5</v>
      </c>
      <c r="W10" s="470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0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70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0"/>
      <c r="AM10" s="458">
        <v>101.00000000000023</v>
      </c>
      <c r="AN10" s="458">
        <v>266.05000000000018</v>
      </c>
      <c r="AO10" s="458">
        <v>376.42499999999905</v>
      </c>
      <c r="AP10" s="50">
        <v>547.84999999999854</v>
      </c>
      <c r="AQ10" s="470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70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70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70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70"/>
      <c r="BL10" s="50">
        <v>0</v>
      </c>
      <c r="BM10" s="50">
        <v>62.450000000000273</v>
      </c>
      <c r="BN10" s="50">
        <v>295.6499999999985</v>
      </c>
      <c r="BO10" s="518">
        <v>162.30000000000001</v>
      </c>
      <c r="BP10" s="470"/>
      <c r="BQ10" s="50">
        <v>63.199999999999363</v>
      </c>
      <c r="BR10" s="50">
        <v>177.55000000000018</v>
      </c>
      <c r="BS10" s="50">
        <v>179.39999999999918</v>
      </c>
      <c r="BT10" s="518">
        <v>522.99999999999818</v>
      </c>
      <c r="BU10" s="470"/>
      <c r="BV10" s="50">
        <v>0</v>
      </c>
      <c r="BW10" s="50">
        <v>0</v>
      </c>
      <c r="BX10" s="50">
        <v>611.43749999999932</v>
      </c>
      <c r="BY10" s="50">
        <v>546.199999999998</v>
      </c>
      <c r="BZ10" s="470"/>
      <c r="CA10" s="50">
        <v>0</v>
      </c>
      <c r="CB10" s="50">
        <v>0</v>
      </c>
      <c r="CC10" s="50">
        <v>291.22499999999673</v>
      </c>
      <c r="CD10" s="50">
        <v>241.899999999996</v>
      </c>
      <c r="CE10" s="470"/>
      <c r="CF10" s="50">
        <v>0</v>
      </c>
      <c r="CG10" s="50">
        <v>0</v>
      </c>
      <c r="CH10" s="50">
        <v>255.82500000000027</v>
      </c>
      <c r="CI10" s="50">
        <v>178.09999999999854</v>
      </c>
      <c r="CJ10" s="470"/>
      <c r="CK10" s="50">
        <v>0</v>
      </c>
      <c r="CL10" s="50">
        <v>0</v>
      </c>
      <c r="CM10" s="50">
        <v>383.70000000000095</v>
      </c>
      <c r="CN10" s="50">
        <v>162.29999999999745</v>
      </c>
      <c r="CO10" s="470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0"/>
      <c r="CU10" s="50">
        <v>0</v>
      </c>
      <c r="CV10" s="50">
        <v>0</v>
      </c>
      <c r="CW10" s="50">
        <v>321.375</v>
      </c>
      <c r="CX10" s="50">
        <v>393.20000000000073</v>
      </c>
      <c r="CY10" s="470"/>
      <c r="CZ10" s="50">
        <v>0</v>
      </c>
      <c r="DA10" s="50">
        <v>0</v>
      </c>
      <c r="DB10" s="50">
        <v>187.875</v>
      </c>
      <c r="DC10" s="50">
        <v>238.00000000000182</v>
      </c>
      <c r="DD10" s="470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0"/>
      <c r="DJ10" s="50">
        <v>0</v>
      </c>
      <c r="DK10" s="50">
        <v>0</v>
      </c>
      <c r="DL10" s="50">
        <v>0</v>
      </c>
      <c r="DM10" s="50">
        <v>0</v>
      </c>
      <c r="DN10" s="470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0"/>
      <c r="DT10" s="50">
        <v>0</v>
      </c>
      <c r="DU10" s="50">
        <v>0</v>
      </c>
      <c r="DV10" s="50">
        <v>320.92499999999973</v>
      </c>
      <c r="DW10" s="50">
        <v>315.79999999999563</v>
      </c>
      <c r="DX10" s="470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0"/>
      <c r="ED10" s="50">
        <v>0</v>
      </c>
      <c r="EE10" s="50">
        <v>0</v>
      </c>
      <c r="EF10" s="50">
        <v>0</v>
      </c>
      <c r="EG10" s="50">
        <v>0</v>
      </c>
      <c r="EH10" s="470"/>
      <c r="EI10" s="50">
        <v>0</v>
      </c>
      <c r="EJ10" s="50">
        <v>0</v>
      </c>
      <c r="EK10" s="50">
        <v>126.44999999999891</v>
      </c>
      <c r="EL10" s="50">
        <v>389.49999999999636</v>
      </c>
      <c r="EM10" s="470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0"/>
      <c r="ES10" s="50">
        <v>0</v>
      </c>
      <c r="ET10" s="50">
        <v>175.25</v>
      </c>
      <c r="EU10" s="50">
        <v>296.99999999999727</v>
      </c>
      <c r="EV10" s="50">
        <v>0</v>
      </c>
      <c r="EW10" s="470"/>
      <c r="EX10" s="50">
        <v>0</v>
      </c>
      <c r="EY10" s="50">
        <v>0</v>
      </c>
      <c r="EZ10" s="50">
        <v>0</v>
      </c>
      <c r="FA10" s="50">
        <v>258.59999999999491</v>
      </c>
      <c r="FB10" s="470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0"/>
      <c r="FH10" s="50">
        <v>0</v>
      </c>
      <c r="FI10" s="50">
        <v>27</v>
      </c>
      <c r="FJ10" s="50">
        <v>147.599999999994</v>
      </c>
      <c r="FK10" s="50">
        <v>318.49999999999636</v>
      </c>
      <c r="FL10" s="470"/>
      <c r="FM10" s="50">
        <v>0</v>
      </c>
      <c r="FN10" s="50">
        <v>0</v>
      </c>
      <c r="FO10" s="50">
        <v>0</v>
      </c>
      <c r="FP10" s="50">
        <v>107.99999999999636</v>
      </c>
      <c r="FQ10" s="470"/>
      <c r="FR10" s="50">
        <v>0</v>
      </c>
      <c r="FS10" s="50">
        <v>0</v>
      </c>
      <c r="FT10" s="50">
        <v>0</v>
      </c>
      <c r="FU10" s="50">
        <v>320</v>
      </c>
      <c r="FV10" s="470"/>
      <c r="FW10" s="50">
        <v>0</v>
      </c>
      <c r="FX10" s="50">
        <v>0</v>
      </c>
      <c r="FY10" s="50">
        <v>0</v>
      </c>
      <c r="FZ10" s="50">
        <v>0</v>
      </c>
      <c r="GA10" s="470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0"/>
      <c r="GG10" s="50">
        <v>0</v>
      </c>
      <c r="GH10" s="50">
        <v>0</v>
      </c>
      <c r="GI10" s="50">
        <v>0</v>
      </c>
      <c r="GJ10" s="50">
        <v>0</v>
      </c>
      <c r="GK10" s="470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0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0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55798.474999999904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0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0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0"/>
      <c r="S11" s="458">
        <v>0</v>
      </c>
      <c r="T11" s="50">
        <v>111.45000000000005</v>
      </c>
      <c r="U11" s="508">
        <v>183.75</v>
      </c>
      <c r="V11" s="50">
        <f>'Punten per wedstrijd'!F10</f>
        <v>239.69999999999982</v>
      </c>
      <c r="W11" s="470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0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70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0"/>
      <c r="AM11" s="458">
        <v>114.5999999999998</v>
      </c>
      <c r="AN11" s="458">
        <v>260.39999999999918</v>
      </c>
      <c r="AO11" s="458">
        <v>264.90000000000055</v>
      </c>
      <c r="AP11" s="50">
        <v>660.99999999999818</v>
      </c>
      <c r="AQ11" s="470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70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70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70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70"/>
      <c r="BL11" s="50">
        <v>0</v>
      </c>
      <c r="BM11" s="50">
        <v>98.999999999999545</v>
      </c>
      <c r="BN11" s="50">
        <v>146.69999999999891</v>
      </c>
      <c r="BO11" s="518">
        <v>105.5</v>
      </c>
      <c r="BP11" s="470"/>
      <c r="BQ11" s="50">
        <v>60.325000000000728</v>
      </c>
      <c r="BR11" s="50">
        <v>231.75</v>
      </c>
      <c r="BS11" s="50">
        <v>155.25</v>
      </c>
      <c r="BT11" s="518">
        <v>504.99999999999909</v>
      </c>
      <c r="BU11" s="470"/>
      <c r="BV11" s="50">
        <v>0</v>
      </c>
      <c r="BW11" s="50">
        <v>0</v>
      </c>
      <c r="BX11" s="50">
        <v>796.27500000000123</v>
      </c>
      <c r="BY11" s="50">
        <v>734.80000000000018</v>
      </c>
      <c r="BZ11" s="470"/>
      <c r="CA11" s="50">
        <v>0</v>
      </c>
      <c r="CB11" s="50">
        <v>0</v>
      </c>
      <c r="CC11" s="50">
        <v>199.94999999999345</v>
      </c>
      <c r="CD11" s="50">
        <v>129.99999999999818</v>
      </c>
      <c r="CE11" s="470"/>
      <c r="CF11" s="50">
        <v>0</v>
      </c>
      <c r="CG11" s="50">
        <v>0</v>
      </c>
      <c r="CH11" s="50">
        <v>346.50000000000136</v>
      </c>
      <c r="CI11" s="50">
        <v>264.19999999999891</v>
      </c>
      <c r="CJ11" s="470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0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0"/>
      <c r="CU11" s="50">
        <v>0</v>
      </c>
      <c r="CV11" s="50">
        <v>0</v>
      </c>
      <c r="CW11" s="50">
        <v>449.58750000000191</v>
      </c>
      <c r="CX11" s="50">
        <v>623.45000000000437</v>
      </c>
      <c r="CY11" s="470"/>
      <c r="CZ11" s="50">
        <v>0</v>
      </c>
      <c r="DA11" s="50">
        <v>0</v>
      </c>
      <c r="DB11" s="50">
        <v>106.12499999999727</v>
      </c>
      <c r="DC11" s="50">
        <v>244.30000000000837</v>
      </c>
      <c r="DD11" s="470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0"/>
      <c r="DJ11" s="50">
        <v>0</v>
      </c>
      <c r="DK11" s="50">
        <v>0</v>
      </c>
      <c r="DL11" s="50">
        <v>0</v>
      </c>
      <c r="DM11" s="50">
        <v>0</v>
      </c>
      <c r="DN11" s="470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0"/>
      <c r="DT11" s="50">
        <v>0</v>
      </c>
      <c r="DU11" s="50">
        <v>0</v>
      </c>
      <c r="DV11" s="50">
        <v>615.82500000000027</v>
      </c>
      <c r="DW11" s="50">
        <v>619.90000000000509</v>
      </c>
      <c r="DX11" s="470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0"/>
      <c r="ED11" s="50">
        <v>0</v>
      </c>
      <c r="EE11" s="50">
        <v>0</v>
      </c>
      <c r="EF11" s="50">
        <v>0</v>
      </c>
      <c r="EG11" s="50">
        <v>0</v>
      </c>
      <c r="EH11" s="470"/>
      <c r="EI11" s="50">
        <v>0</v>
      </c>
      <c r="EJ11" s="50">
        <v>0</v>
      </c>
      <c r="EK11" s="50">
        <v>229.72499999999127</v>
      </c>
      <c r="EL11" s="50">
        <v>180</v>
      </c>
      <c r="EM11" s="470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0"/>
      <c r="ES11" s="50">
        <v>0</v>
      </c>
      <c r="ET11" s="50">
        <v>159.10000000000127</v>
      </c>
      <c r="EU11" s="50">
        <v>287.92499999999291</v>
      </c>
      <c r="EV11" s="50">
        <v>0</v>
      </c>
      <c r="EW11" s="470"/>
      <c r="EX11" s="50">
        <v>0</v>
      </c>
      <c r="EY11" s="50">
        <v>0</v>
      </c>
      <c r="EZ11" s="50">
        <v>0</v>
      </c>
      <c r="FA11" s="50">
        <v>296.20000000000437</v>
      </c>
      <c r="FB11" s="470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0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0"/>
      <c r="FM11" s="50">
        <v>0</v>
      </c>
      <c r="FN11" s="50">
        <v>0</v>
      </c>
      <c r="FO11" s="50">
        <v>0</v>
      </c>
      <c r="FP11" s="50">
        <v>360.30000000000291</v>
      </c>
      <c r="FQ11" s="470"/>
      <c r="FR11" s="50">
        <v>0</v>
      </c>
      <c r="FS11" s="50">
        <v>0</v>
      </c>
      <c r="FT11" s="50">
        <v>0</v>
      </c>
      <c r="FU11" s="50">
        <v>492.60000000000218</v>
      </c>
      <c r="FV11" s="470"/>
      <c r="FW11" s="50">
        <v>0</v>
      </c>
      <c r="FX11" s="50">
        <v>0</v>
      </c>
      <c r="FY11" s="50">
        <v>0</v>
      </c>
      <c r="FZ11" s="50">
        <v>0</v>
      </c>
      <c r="GA11" s="470"/>
      <c r="GB11" s="50">
        <v>0</v>
      </c>
      <c r="GC11" s="50">
        <v>52.275000000000091</v>
      </c>
      <c r="GD11" s="50">
        <v>472.87499999999454</v>
      </c>
      <c r="GE11" s="50">
        <v>500</v>
      </c>
      <c r="GF11" s="470"/>
      <c r="GG11" s="50">
        <v>0</v>
      </c>
      <c r="GH11" s="50">
        <v>0</v>
      </c>
      <c r="GI11" s="50">
        <v>0</v>
      </c>
      <c r="GJ11" s="50">
        <v>0</v>
      </c>
      <c r="GK11" s="470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0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0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3375</v>
      </c>
      <c r="B12" s="46">
        <f t="shared" si="0"/>
        <v>5955.5000000000036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0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0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0"/>
      <c r="S12" s="458">
        <v>0</v>
      </c>
      <c r="T12" s="50">
        <v>0</v>
      </c>
      <c r="U12" s="508">
        <v>0</v>
      </c>
      <c r="V12" s="50">
        <f>'Punten per wedstrijd'!F11</f>
        <v>160</v>
      </c>
      <c r="W12" s="470"/>
      <c r="X12" s="50">
        <v>0</v>
      </c>
      <c r="Y12" s="50">
        <v>0</v>
      </c>
      <c r="Z12" s="50">
        <v>0</v>
      </c>
      <c r="AA12" s="50">
        <v>211.50000000000045</v>
      </c>
      <c r="AB12" s="470"/>
      <c r="AC12" s="50">
        <v>0</v>
      </c>
      <c r="AD12" s="50">
        <v>0</v>
      </c>
      <c r="AE12" s="50">
        <v>0</v>
      </c>
      <c r="AF12" s="50">
        <v>792.50000000000045</v>
      </c>
      <c r="AG12" s="470"/>
      <c r="AH12" s="50">
        <v>0</v>
      </c>
      <c r="AI12" s="50">
        <v>0</v>
      </c>
      <c r="AJ12" s="50">
        <v>0</v>
      </c>
      <c r="AK12" s="50">
        <v>780.10000000000082</v>
      </c>
      <c r="AL12" s="470"/>
      <c r="AM12" s="458">
        <v>0</v>
      </c>
      <c r="AN12" s="458">
        <v>0</v>
      </c>
      <c r="AO12" s="458">
        <v>0</v>
      </c>
      <c r="AP12" s="50">
        <v>464.65000000000055</v>
      </c>
      <c r="AQ12" s="470"/>
      <c r="AR12" s="50">
        <v>0</v>
      </c>
      <c r="AS12" s="50">
        <v>0</v>
      </c>
      <c r="AT12" s="50">
        <v>0</v>
      </c>
      <c r="AU12" s="50">
        <v>116.00000000000001</v>
      </c>
      <c r="AV12" s="470"/>
      <c r="AW12" s="50">
        <v>0</v>
      </c>
      <c r="AX12" s="50">
        <v>0</v>
      </c>
      <c r="AY12" s="50">
        <v>0</v>
      </c>
      <c r="AZ12" s="50">
        <v>925.00000000000091</v>
      </c>
      <c r="BA12" s="470"/>
      <c r="BB12" s="50">
        <v>0</v>
      </c>
      <c r="BC12" s="50">
        <v>0</v>
      </c>
      <c r="BD12" s="50">
        <v>0</v>
      </c>
      <c r="BE12" s="50">
        <v>632.04999999999995</v>
      </c>
      <c r="BF12" s="470"/>
      <c r="BG12" s="50">
        <v>0</v>
      </c>
      <c r="BH12" s="50">
        <v>0</v>
      </c>
      <c r="BI12" s="50">
        <v>0</v>
      </c>
      <c r="BJ12" s="50">
        <v>183.4</v>
      </c>
      <c r="BK12" s="470"/>
      <c r="BL12" s="50">
        <v>0</v>
      </c>
      <c r="BM12" s="50">
        <v>0</v>
      </c>
      <c r="BN12" s="50">
        <v>0</v>
      </c>
      <c r="BO12" s="518">
        <v>86.5</v>
      </c>
      <c r="BP12" s="470"/>
      <c r="BQ12" s="50">
        <v>0</v>
      </c>
      <c r="BR12" s="50">
        <v>0</v>
      </c>
      <c r="BS12" s="50">
        <v>0</v>
      </c>
      <c r="BT12" s="518">
        <v>466.50000000000091</v>
      </c>
      <c r="BU12" s="470"/>
      <c r="BV12" s="50"/>
      <c r="BW12" s="50"/>
      <c r="BX12" s="50"/>
      <c r="BY12" s="50"/>
      <c r="BZ12" s="470"/>
      <c r="CA12" s="50"/>
      <c r="CB12" s="50"/>
      <c r="CC12" s="50"/>
      <c r="CD12" s="50"/>
      <c r="CE12" s="470"/>
      <c r="CF12" s="50"/>
      <c r="CG12" s="50"/>
      <c r="CH12" s="50"/>
      <c r="CI12" s="50"/>
      <c r="CJ12" s="470"/>
      <c r="CK12" s="50"/>
      <c r="CL12" s="50"/>
      <c r="CM12" s="50"/>
      <c r="CN12" s="50"/>
      <c r="CO12" s="470"/>
      <c r="CP12" s="50"/>
      <c r="CQ12" s="50"/>
      <c r="CR12" s="50"/>
      <c r="CS12" s="50"/>
      <c r="CT12" s="470"/>
      <c r="CU12" s="50"/>
      <c r="CV12" s="50"/>
      <c r="CW12" s="50"/>
      <c r="CX12" s="50"/>
      <c r="CY12" s="470"/>
      <c r="CZ12" s="50"/>
      <c r="DA12" s="50"/>
      <c r="DB12" s="50"/>
      <c r="DC12" s="50"/>
      <c r="DD12" s="470"/>
      <c r="DE12" s="50"/>
      <c r="DF12" s="50"/>
      <c r="DG12" s="50"/>
      <c r="DH12" s="50"/>
      <c r="DI12" s="470"/>
      <c r="DJ12" s="50"/>
      <c r="DK12" s="50"/>
      <c r="DL12" s="50"/>
      <c r="DM12" s="50"/>
      <c r="DN12" s="470"/>
      <c r="DO12" s="50"/>
      <c r="DP12" s="50"/>
      <c r="DQ12" s="50"/>
      <c r="DR12" s="50"/>
      <c r="DS12" s="470"/>
      <c r="DT12" s="50"/>
      <c r="DU12" s="50"/>
      <c r="DV12" s="50"/>
      <c r="DW12" s="50"/>
      <c r="DX12" s="470"/>
      <c r="DY12" s="50"/>
      <c r="DZ12" s="50"/>
      <c r="EA12" s="50"/>
      <c r="EB12" s="50"/>
      <c r="EC12" s="470"/>
      <c r="ED12" s="50"/>
      <c r="EE12" s="50"/>
      <c r="EF12" s="50"/>
      <c r="EG12" s="50"/>
      <c r="EH12" s="470"/>
      <c r="EI12" s="50"/>
      <c r="EJ12" s="50"/>
      <c r="EK12" s="50"/>
      <c r="EL12" s="50"/>
      <c r="EM12" s="470"/>
      <c r="EN12" s="50"/>
      <c r="EO12" s="50"/>
      <c r="EP12" s="50"/>
      <c r="EQ12" s="50"/>
      <c r="ER12" s="470"/>
      <c r="ES12" s="50"/>
      <c r="ET12" s="50"/>
      <c r="EU12" s="50"/>
      <c r="EV12" s="50"/>
      <c r="EW12" s="470"/>
      <c r="EX12" s="50"/>
      <c r="EY12" s="50"/>
      <c r="EZ12" s="50"/>
      <c r="FA12" s="50"/>
      <c r="FB12" s="470"/>
      <c r="FC12" s="50"/>
      <c r="FD12" s="50"/>
      <c r="FE12" s="50"/>
      <c r="FF12" s="50"/>
      <c r="FG12" s="470"/>
      <c r="FH12" s="50"/>
      <c r="FI12" s="50"/>
      <c r="FJ12" s="50"/>
      <c r="FK12" s="50"/>
      <c r="FL12" s="470"/>
      <c r="FM12" s="50"/>
      <c r="FN12" s="50"/>
      <c r="FO12" s="50"/>
      <c r="FP12" s="50"/>
      <c r="FQ12" s="470"/>
      <c r="FR12" s="50"/>
      <c r="FS12" s="50"/>
      <c r="FT12" s="50"/>
      <c r="FU12" s="50"/>
      <c r="FV12" s="470"/>
      <c r="FW12" s="50"/>
      <c r="FX12" s="50"/>
      <c r="FY12" s="50"/>
      <c r="FZ12" s="50"/>
      <c r="GA12" s="470"/>
      <c r="GB12" s="50"/>
      <c r="GC12" s="50"/>
      <c r="GD12" s="50"/>
      <c r="GE12" s="50"/>
      <c r="GF12" s="470"/>
      <c r="GG12" s="50"/>
      <c r="GH12" s="50"/>
      <c r="GI12" s="50"/>
      <c r="GJ12" s="50"/>
      <c r="GK12" s="470"/>
      <c r="GL12" s="50"/>
      <c r="GM12" s="50"/>
      <c r="GN12" s="50"/>
      <c r="GO12" s="50"/>
      <c r="GP12" s="470"/>
      <c r="GQ12" s="50"/>
      <c r="GR12" s="50"/>
      <c r="GS12" s="50"/>
      <c r="GT12" s="50"/>
      <c r="GU12" s="470"/>
      <c r="HA12" s="464"/>
      <c r="HJ12" s="464"/>
      <c r="HS12" s="464"/>
      <c r="IB12" s="464"/>
      <c r="IK12" s="464"/>
      <c r="IT12" s="464"/>
      <c r="JC12" s="464"/>
      <c r="JL12" s="464"/>
      <c r="JU12" s="464"/>
      <c r="KD12" s="464"/>
      <c r="KM12" s="464"/>
      <c r="KV12" s="464"/>
      <c r="LE12" s="464"/>
      <c r="MF12" s="464"/>
      <c r="MO12" s="464"/>
      <c r="MX12" s="464"/>
      <c r="NG12" s="464"/>
      <c r="NP12" s="464"/>
      <c r="NY12" s="464"/>
      <c r="OE12" s="37"/>
    </row>
    <row r="13" spans="1:396" ht="18">
      <c r="A13" s="41" t="s">
        <v>1</v>
      </c>
      <c r="B13" s="46">
        <f t="shared" si="0"/>
        <v>39979.212499999951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0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0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0"/>
      <c r="S13" s="458">
        <v>75</v>
      </c>
      <c r="T13" s="50">
        <v>103.55000000000007</v>
      </c>
      <c r="U13" s="508">
        <v>235.20000000000044</v>
      </c>
      <c r="V13" s="50">
        <f>'Punten per wedstrijd'!F12</f>
        <v>127.49999999999977</v>
      </c>
      <c r="W13" s="470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0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70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0"/>
      <c r="AM13" s="458">
        <v>90.750000000000114</v>
      </c>
      <c r="AN13" s="458">
        <v>133.27499999999964</v>
      </c>
      <c r="AO13" s="458">
        <v>229.87499999999966</v>
      </c>
      <c r="AP13" s="50">
        <v>592.59999999999991</v>
      </c>
      <c r="AQ13" s="470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70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70"/>
      <c r="BB13" s="50">
        <v>0</v>
      </c>
      <c r="BC13" s="50">
        <v>122.14999999999941</v>
      </c>
      <c r="BD13" s="50">
        <v>122.02499999999952</v>
      </c>
      <c r="BE13" s="50">
        <v>470</v>
      </c>
      <c r="BF13" s="470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70"/>
      <c r="BL13" s="50">
        <v>0</v>
      </c>
      <c r="BM13" s="50">
        <v>93.399999999999636</v>
      </c>
      <c r="BN13" s="50">
        <v>382.12499999999932</v>
      </c>
      <c r="BO13" s="518">
        <v>381.8</v>
      </c>
      <c r="BP13" s="470"/>
      <c r="BQ13" s="50">
        <v>71.750000000000455</v>
      </c>
      <c r="BR13" s="50">
        <v>172.90000000000009</v>
      </c>
      <c r="BS13" s="50">
        <v>344.54999999999973</v>
      </c>
      <c r="BT13" s="518">
        <v>416</v>
      </c>
      <c r="BU13" s="470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0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0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0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0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0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0"/>
      <c r="CZ13" s="50">
        <v>31.25</v>
      </c>
      <c r="DA13" s="50">
        <v>0</v>
      </c>
      <c r="DB13" s="50">
        <v>304.6875</v>
      </c>
      <c r="DC13" s="50">
        <v>332.40000000000146</v>
      </c>
      <c r="DD13" s="470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0"/>
      <c r="DJ13" s="50">
        <v>76.949999999999818</v>
      </c>
      <c r="DK13" s="50">
        <v>0</v>
      </c>
      <c r="DL13" s="50">
        <v>0</v>
      </c>
      <c r="DM13" s="50">
        <v>0</v>
      </c>
      <c r="DN13" s="470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0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0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0"/>
      <c r="ED13" s="50">
        <v>56.199999999998909</v>
      </c>
      <c r="EE13" s="50">
        <v>0</v>
      </c>
      <c r="EF13" s="50">
        <v>0</v>
      </c>
      <c r="EG13" s="50">
        <v>0</v>
      </c>
      <c r="EH13" s="470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0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0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0"/>
      <c r="EX13" s="50">
        <v>83.374999999998636</v>
      </c>
      <c r="EY13" s="50">
        <v>0</v>
      </c>
      <c r="EZ13" s="50">
        <v>0</v>
      </c>
      <c r="FA13" s="50">
        <v>0</v>
      </c>
      <c r="FB13" s="470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0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0"/>
      <c r="FM13" s="50">
        <v>131.875</v>
      </c>
      <c r="FN13" s="50">
        <v>0</v>
      </c>
      <c r="FO13" s="50">
        <v>0</v>
      </c>
      <c r="FP13" s="50">
        <v>175.399999999996</v>
      </c>
      <c r="FQ13" s="470"/>
      <c r="FR13" s="50">
        <v>138.07500000000164</v>
      </c>
      <c r="FS13" s="50">
        <v>0</v>
      </c>
      <c r="FT13" s="50">
        <v>0</v>
      </c>
      <c r="FU13" s="50">
        <v>395.89999999999236</v>
      </c>
      <c r="FV13" s="470"/>
      <c r="FW13" s="50">
        <v>117.14999999999986</v>
      </c>
      <c r="FX13" s="50">
        <v>0</v>
      </c>
      <c r="FY13" s="50">
        <v>0</v>
      </c>
      <c r="FZ13" s="50">
        <v>0</v>
      </c>
      <c r="GA13" s="470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0"/>
      <c r="GG13" s="50">
        <v>24</v>
      </c>
      <c r="GH13" s="50">
        <v>0</v>
      </c>
      <c r="GI13" s="50">
        <v>0</v>
      </c>
      <c r="GJ13" s="50">
        <v>0</v>
      </c>
      <c r="GK13" s="470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0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0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2027</v>
      </c>
      <c r="B14" s="46">
        <f t="shared" si="0"/>
        <v>26117.975000000042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0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0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0"/>
      <c r="S14" s="458">
        <v>0</v>
      </c>
      <c r="T14" s="50">
        <v>0</v>
      </c>
      <c r="U14" s="508">
        <v>265.72500000000014</v>
      </c>
      <c r="V14" s="50">
        <f>'Punten per wedstrijd'!F13</f>
        <v>100.40000000000055</v>
      </c>
      <c r="W14" s="470"/>
      <c r="X14" s="50">
        <v>0</v>
      </c>
      <c r="Y14" s="50">
        <v>0</v>
      </c>
      <c r="Z14" s="50">
        <v>265.5</v>
      </c>
      <c r="AA14" s="50">
        <v>288.20000000000027</v>
      </c>
      <c r="AB14" s="470"/>
      <c r="AC14" s="50">
        <v>0</v>
      </c>
      <c r="AD14" s="50">
        <v>0</v>
      </c>
      <c r="AE14" s="50">
        <v>564.89999999999918</v>
      </c>
      <c r="AF14" s="50">
        <v>837.59999999999991</v>
      </c>
      <c r="AG14" s="470"/>
      <c r="AH14" s="50">
        <v>0</v>
      </c>
      <c r="AI14" s="50">
        <v>0</v>
      </c>
      <c r="AJ14" s="50">
        <v>593.69999999999959</v>
      </c>
      <c r="AK14" s="50">
        <v>939.80000000000018</v>
      </c>
      <c r="AL14" s="470"/>
      <c r="AM14" s="458">
        <v>0</v>
      </c>
      <c r="AN14" s="458">
        <v>0</v>
      </c>
      <c r="AO14" s="458">
        <v>221.02499999999918</v>
      </c>
      <c r="AP14" s="50">
        <v>746.10000000000036</v>
      </c>
      <c r="AQ14" s="470"/>
      <c r="AR14" s="50">
        <v>0</v>
      </c>
      <c r="AS14" s="50">
        <v>0</v>
      </c>
      <c r="AT14" s="50">
        <v>181.5</v>
      </c>
      <c r="AU14" s="50">
        <v>91</v>
      </c>
      <c r="AV14" s="470"/>
      <c r="AW14" s="50">
        <v>0</v>
      </c>
      <c r="AX14" s="50">
        <v>0</v>
      </c>
      <c r="AY14" s="50">
        <v>179.77500000000123</v>
      </c>
      <c r="AZ14" s="50">
        <v>843.40000000000146</v>
      </c>
      <c r="BA14" s="470"/>
      <c r="BB14" s="50">
        <v>0</v>
      </c>
      <c r="BC14" s="50">
        <v>0</v>
      </c>
      <c r="BD14" s="50">
        <v>358.57500000000164</v>
      </c>
      <c r="BE14" s="50">
        <v>723.2</v>
      </c>
      <c r="BF14" s="470"/>
      <c r="BG14" s="50">
        <v>0</v>
      </c>
      <c r="BH14" s="50">
        <v>0</v>
      </c>
      <c r="BI14" s="50">
        <v>238.20000000000232</v>
      </c>
      <c r="BJ14" s="50">
        <v>313.2</v>
      </c>
      <c r="BK14" s="470"/>
      <c r="BL14" s="50">
        <v>0</v>
      </c>
      <c r="BM14" s="50">
        <v>0</v>
      </c>
      <c r="BN14" s="50">
        <v>111.37500000000136</v>
      </c>
      <c r="BO14" s="518">
        <v>145.5</v>
      </c>
      <c r="BP14" s="470"/>
      <c r="BQ14" s="50">
        <v>0</v>
      </c>
      <c r="BR14" s="50">
        <v>0</v>
      </c>
      <c r="BS14" s="50">
        <v>253.12500000000205</v>
      </c>
      <c r="BT14" s="518">
        <v>685.30000000000109</v>
      </c>
      <c r="BU14" s="470"/>
      <c r="BV14" s="50">
        <v>0</v>
      </c>
      <c r="BW14" s="50">
        <v>0</v>
      </c>
      <c r="BX14" s="50">
        <v>0</v>
      </c>
      <c r="BY14" s="50">
        <v>789.40000000000236</v>
      </c>
      <c r="BZ14" s="470"/>
      <c r="CA14" s="50">
        <v>0</v>
      </c>
      <c r="CB14" s="50">
        <v>0</v>
      </c>
      <c r="CC14" s="50">
        <v>0</v>
      </c>
      <c r="CD14" s="50">
        <v>268.50000000000182</v>
      </c>
      <c r="CE14" s="470"/>
      <c r="CF14" s="50">
        <v>0</v>
      </c>
      <c r="CG14" s="50">
        <v>0</v>
      </c>
      <c r="CH14" s="50">
        <v>0</v>
      </c>
      <c r="CI14" s="50">
        <v>130.40000000000055</v>
      </c>
      <c r="CJ14" s="470"/>
      <c r="CK14" s="50">
        <v>0</v>
      </c>
      <c r="CL14" s="50">
        <v>0</v>
      </c>
      <c r="CM14" s="50">
        <v>0</v>
      </c>
      <c r="CN14" s="50">
        <v>264.40000000000146</v>
      </c>
      <c r="CO14" s="470"/>
      <c r="CP14" s="50">
        <v>0</v>
      </c>
      <c r="CQ14" s="50">
        <v>0</v>
      </c>
      <c r="CR14" s="50">
        <v>0</v>
      </c>
      <c r="CS14" s="50">
        <v>423.29999999999745</v>
      </c>
      <c r="CT14" s="470"/>
      <c r="CU14" s="50">
        <v>0</v>
      </c>
      <c r="CV14" s="50">
        <v>0</v>
      </c>
      <c r="CW14" s="50">
        <v>0</v>
      </c>
      <c r="CX14" s="50">
        <v>537.49999999999818</v>
      </c>
      <c r="CY14" s="470"/>
      <c r="CZ14" s="50">
        <v>0</v>
      </c>
      <c r="DA14" s="50">
        <v>0</v>
      </c>
      <c r="DB14" s="50">
        <v>0</v>
      </c>
      <c r="DC14" s="50">
        <v>115.49999999999818</v>
      </c>
      <c r="DD14" s="470"/>
      <c r="DE14" s="50">
        <v>0</v>
      </c>
      <c r="DF14" s="50">
        <v>0</v>
      </c>
      <c r="DG14" s="50">
        <v>0</v>
      </c>
      <c r="DH14" s="50">
        <v>1856.9000000000005</v>
      </c>
      <c r="DI14" s="470"/>
      <c r="DJ14" s="50">
        <v>0</v>
      </c>
      <c r="DK14" s="50">
        <v>0</v>
      </c>
      <c r="DL14" s="50">
        <v>0</v>
      </c>
      <c r="DM14" s="50">
        <v>0</v>
      </c>
      <c r="DN14" s="470"/>
      <c r="DO14" s="50">
        <v>0</v>
      </c>
      <c r="DP14" s="50">
        <v>0</v>
      </c>
      <c r="DQ14" s="50">
        <v>0</v>
      </c>
      <c r="DR14" s="50">
        <v>463.70000000000073</v>
      </c>
      <c r="DS14" s="470"/>
      <c r="DT14" s="50">
        <v>0</v>
      </c>
      <c r="DU14" s="50">
        <v>0</v>
      </c>
      <c r="DV14" s="50">
        <v>0</v>
      </c>
      <c r="DW14" s="50">
        <v>462.79999999999927</v>
      </c>
      <c r="DX14" s="470"/>
      <c r="DY14" s="50">
        <v>0</v>
      </c>
      <c r="DZ14" s="50">
        <v>0</v>
      </c>
      <c r="EA14" s="50">
        <v>0</v>
      </c>
      <c r="EB14" s="50">
        <v>3417.6999999999989</v>
      </c>
      <c r="EC14" s="470"/>
      <c r="ED14" s="50">
        <v>0</v>
      </c>
      <c r="EE14" s="50">
        <v>0</v>
      </c>
      <c r="EF14" s="50">
        <v>0</v>
      </c>
      <c r="EG14" s="50">
        <v>0</v>
      </c>
      <c r="EH14" s="470"/>
      <c r="EI14" s="50">
        <v>0</v>
      </c>
      <c r="EJ14" s="50">
        <v>0</v>
      </c>
      <c r="EK14" s="50">
        <v>0</v>
      </c>
      <c r="EL14" s="50">
        <v>320.00000000000728</v>
      </c>
      <c r="EM14" s="470"/>
      <c r="EN14" s="50">
        <v>0</v>
      </c>
      <c r="EO14" s="50">
        <v>0</v>
      </c>
      <c r="EP14" s="50">
        <v>0</v>
      </c>
      <c r="EQ14" s="50">
        <v>252.50000000000364</v>
      </c>
      <c r="ER14" s="470"/>
      <c r="ES14" s="50">
        <v>0</v>
      </c>
      <c r="ET14" s="50">
        <v>0</v>
      </c>
      <c r="EU14" s="50">
        <v>0</v>
      </c>
      <c r="EV14" s="50">
        <v>0</v>
      </c>
      <c r="EW14" s="470"/>
      <c r="EX14" s="50">
        <v>0</v>
      </c>
      <c r="EY14" s="50">
        <v>0</v>
      </c>
      <c r="EZ14" s="50">
        <v>0</v>
      </c>
      <c r="FA14" s="50">
        <v>371.40000000000509</v>
      </c>
      <c r="FB14" s="470"/>
      <c r="FC14" s="50">
        <v>0</v>
      </c>
      <c r="FD14" s="50">
        <v>0</v>
      </c>
      <c r="FE14" s="50">
        <v>0</v>
      </c>
      <c r="FF14" s="50">
        <v>3290.7000000000003</v>
      </c>
      <c r="FG14" s="470"/>
      <c r="FH14" s="50">
        <v>0</v>
      </c>
      <c r="FI14" s="50">
        <v>0</v>
      </c>
      <c r="FJ14" s="50">
        <v>0</v>
      </c>
      <c r="FK14" s="50">
        <v>256.80000000000291</v>
      </c>
      <c r="FL14" s="470"/>
      <c r="FM14" s="50">
        <v>0</v>
      </c>
      <c r="FN14" s="50">
        <v>0</v>
      </c>
      <c r="FO14" s="50">
        <v>0</v>
      </c>
      <c r="FP14" s="50">
        <v>166.00000000000364</v>
      </c>
      <c r="FQ14" s="470"/>
      <c r="FR14" s="50">
        <v>0</v>
      </c>
      <c r="FS14" s="50">
        <v>0</v>
      </c>
      <c r="FT14" s="50">
        <v>0</v>
      </c>
      <c r="FU14" s="50">
        <v>389.69999999999709</v>
      </c>
      <c r="FV14" s="470"/>
      <c r="FW14" s="50">
        <v>0</v>
      </c>
      <c r="FX14" s="50">
        <v>0</v>
      </c>
      <c r="FY14" s="50">
        <v>0</v>
      </c>
      <c r="FZ14" s="50">
        <v>0</v>
      </c>
      <c r="GA14" s="470"/>
      <c r="GB14" s="50">
        <v>0</v>
      </c>
      <c r="GC14" s="50">
        <v>0</v>
      </c>
      <c r="GD14" s="50">
        <v>0</v>
      </c>
      <c r="GE14" s="50">
        <v>465.5</v>
      </c>
      <c r="GF14" s="470"/>
      <c r="GG14" s="50">
        <v>0</v>
      </c>
      <c r="GH14" s="50">
        <v>0</v>
      </c>
      <c r="GI14" s="50">
        <v>0</v>
      </c>
      <c r="GJ14" s="50">
        <v>0</v>
      </c>
      <c r="GK14" s="470"/>
      <c r="GL14" s="50">
        <v>0</v>
      </c>
      <c r="GM14" s="50">
        <v>0</v>
      </c>
      <c r="GN14" s="50">
        <v>0</v>
      </c>
      <c r="GO14" s="50">
        <v>929.1000000000131</v>
      </c>
      <c r="GP14" s="470"/>
      <c r="GQ14" s="50">
        <v>0</v>
      </c>
      <c r="GR14" s="50">
        <v>0</v>
      </c>
      <c r="GS14" s="50">
        <v>0</v>
      </c>
      <c r="GT14" s="50">
        <v>181.5</v>
      </c>
      <c r="GU14" s="470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3394</v>
      </c>
      <c r="B15" s="46">
        <f t="shared" si="0"/>
        <v>7145.5999999999949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0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0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0"/>
      <c r="S15" s="458">
        <v>0</v>
      </c>
      <c r="T15" s="50">
        <v>0</v>
      </c>
      <c r="U15" s="508">
        <v>0</v>
      </c>
      <c r="V15" s="50">
        <f>'Punten per wedstrijd'!F14</f>
        <v>361.29999999999973</v>
      </c>
      <c r="W15" s="470"/>
      <c r="X15" s="50">
        <v>0</v>
      </c>
      <c r="Y15" s="50">
        <v>0</v>
      </c>
      <c r="Z15" s="50">
        <v>0</v>
      </c>
      <c r="AA15" s="50">
        <v>239.69999999999982</v>
      </c>
      <c r="AB15" s="470"/>
      <c r="AC15" s="50">
        <v>0</v>
      </c>
      <c r="AD15" s="50">
        <v>0</v>
      </c>
      <c r="AE15" s="50">
        <v>0</v>
      </c>
      <c r="AF15" s="50">
        <v>880.79999999999973</v>
      </c>
      <c r="AG15" s="470"/>
      <c r="AH15" s="50">
        <v>0</v>
      </c>
      <c r="AI15" s="50">
        <v>0</v>
      </c>
      <c r="AJ15" s="50">
        <v>0</v>
      </c>
      <c r="AK15" s="50">
        <v>822.79999999999927</v>
      </c>
      <c r="AL15" s="470"/>
      <c r="AM15" s="458">
        <v>0</v>
      </c>
      <c r="AN15" s="458">
        <v>0</v>
      </c>
      <c r="AO15" s="458">
        <v>0</v>
      </c>
      <c r="AP15" s="50">
        <v>562.29999999999836</v>
      </c>
      <c r="AQ15" s="470"/>
      <c r="AR15" s="50">
        <v>0</v>
      </c>
      <c r="AS15" s="50">
        <v>0</v>
      </c>
      <c r="AT15" s="50">
        <v>0</v>
      </c>
      <c r="AU15" s="50">
        <v>453.5</v>
      </c>
      <c r="AV15" s="470"/>
      <c r="AW15" s="50">
        <v>0</v>
      </c>
      <c r="AX15" s="50">
        <v>0</v>
      </c>
      <c r="AY15" s="50">
        <v>0</v>
      </c>
      <c r="AZ15" s="50">
        <v>943.99999999999818</v>
      </c>
      <c r="BA15" s="470"/>
      <c r="BB15" s="50">
        <v>0</v>
      </c>
      <c r="BC15" s="50">
        <v>0</v>
      </c>
      <c r="BD15" s="50">
        <v>0</v>
      </c>
      <c r="BE15" s="50">
        <v>399.5</v>
      </c>
      <c r="BF15" s="470"/>
      <c r="BG15" s="50">
        <v>0</v>
      </c>
      <c r="BH15" s="50">
        <v>0</v>
      </c>
      <c r="BI15" s="50">
        <v>0</v>
      </c>
      <c r="BJ15" s="50">
        <v>274.2</v>
      </c>
      <c r="BK15" s="470"/>
      <c r="BL15" s="50">
        <v>0</v>
      </c>
      <c r="BM15" s="50">
        <v>0</v>
      </c>
      <c r="BN15" s="50">
        <v>0</v>
      </c>
      <c r="BO15" s="518">
        <v>322.2</v>
      </c>
      <c r="BP15" s="470"/>
      <c r="BQ15" s="50">
        <v>0</v>
      </c>
      <c r="BR15" s="50">
        <v>0</v>
      </c>
      <c r="BS15" s="50">
        <v>0</v>
      </c>
      <c r="BT15" s="518">
        <v>358.10000000000036</v>
      </c>
      <c r="BU15" s="470"/>
      <c r="BV15" s="50"/>
      <c r="BW15" s="50"/>
      <c r="BX15" s="50"/>
      <c r="BY15" s="50"/>
      <c r="BZ15" s="470"/>
      <c r="CA15" s="50"/>
      <c r="CB15" s="50"/>
      <c r="CC15" s="50"/>
      <c r="CD15" s="50"/>
      <c r="CE15" s="470"/>
      <c r="CF15" s="50"/>
      <c r="CG15" s="50"/>
      <c r="CH15" s="50"/>
      <c r="CI15" s="50"/>
      <c r="CJ15" s="470"/>
      <c r="CK15" s="50"/>
      <c r="CL15" s="50"/>
      <c r="CM15" s="50"/>
      <c r="CN15" s="50"/>
      <c r="CO15" s="470"/>
      <c r="CP15" s="50"/>
      <c r="CQ15" s="50"/>
      <c r="CR15" s="50"/>
      <c r="CS15" s="50"/>
      <c r="CT15" s="470"/>
      <c r="CU15" s="50"/>
      <c r="CV15" s="50"/>
      <c r="CW15" s="50"/>
      <c r="CX15" s="50"/>
      <c r="CY15" s="470"/>
      <c r="CZ15" s="50"/>
      <c r="DA15" s="50"/>
      <c r="DB15" s="50"/>
      <c r="DC15" s="50"/>
      <c r="DD15" s="470"/>
      <c r="DE15" s="50"/>
      <c r="DF15" s="50"/>
      <c r="DG15" s="50"/>
      <c r="DH15" s="50"/>
      <c r="DI15" s="470"/>
      <c r="DJ15" s="50"/>
      <c r="DK15" s="50"/>
      <c r="DL15" s="50"/>
      <c r="DM15" s="50"/>
      <c r="DN15" s="470"/>
      <c r="DO15" s="50"/>
      <c r="DP15" s="50"/>
      <c r="DQ15" s="50"/>
      <c r="DR15" s="50"/>
      <c r="DS15" s="470"/>
      <c r="DT15" s="50"/>
      <c r="DU15" s="50"/>
      <c r="DV15" s="50"/>
      <c r="DW15" s="50"/>
      <c r="DX15" s="470"/>
      <c r="DY15" s="50"/>
      <c r="DZ15" s="50"/>
      <c r="EA15" s="50"/>
      <c r="EB15" s="50"/>
      <c r="EC15" s="470"/>
      <c r="ED15" s="50"/>
      <c r="EE15" s="50"/>
      <c r="EF15" s="50"/>
      <c r="EG15" s="50"/>
      <c r="EH15" s="470"/>
      <c r="EI15" s="50"/>
      <c r="EJ15" s="50"/>
      <c r="EK15" s="50"/>
      <c r="EL15" s="50"/>
      <c r="EM15" s="470"/>
      <c r="EN15" s="50"/>
      <c r="EO15" s="50"/>
      <c r="EP15" s="50"/>
      <c r="EQ15" s="50"/>
      <c r="ER15" s="470"/>
      <c r="ES15" s="50"/>
      <c r="ET15" s="50"/>
      <c r="EU15" s="50"/>
      <c r="EV15" s="50"/>
      <c r="EW15" s="470"/>
      <c r="EX15" s="50"/>
      <c r="EY15" s="50"/>
      <c r="EZ15" s="50"/>
      <c r="FA15" s="50"/>
      <c r="FB15" s="470"/>
      <c r="FC15" s="50"/>
      <c r="FD15" s="50"/>
      <c r="FE15" s="50"/>
      <c r="FF15" s="50"/>
      <c r="FG15" s="470"/>
      <c r="FH15" s="50"/>
      <c r="FI15" s="50"/>
      <c r="FJ15" s="50"/>
      <c r="FK15" s="50"/>
      <c r="FL15" s="470"/>
      <c r="FM15" s="50"/>
      <c r="FN15" s="50"/>
      <c r="FO15" s="50"/>
      <c r="FP15" s="50"/>
      <c r="FQ15" s="470"/>
      <c r="FR15" s="50"/>
      <c r="FS15" s="50"/>
      <c r="FT15" s="50"/>
      <c r="FU15" s="50"/>
      <c r="FV15" s="470"/>
      <c r="FW15" s="50"/>
      <c r="FX15" s="50"/>
      <c r="FY15" s="50"/>
      <c r="FZ15" s="50"/>
      <c r="GA15" s="470"/>
      <c r="GB15" s="50"/>
      <c r="GC15" s="50"/>
      <c r="GD15" s="50"/>
      <c r="GE15" s="50"/>
      <c r="GF15" s="470"/>
      <c r="GG15" s="50"/>
      <c r="GH15" s="50"/>
      <c r="GI15" s="50"/>
      <c r="GJ15" s="50"/>
      <c r="GK15" s="470"/>
      <c r="GL15" s="50"/>
      <c r="GM15" s="50"/>
      <c r="GN15" s="50"/>
      <c r="GO15" s="50"/>
      <c r="GP15" s="470"/>
      <c r="GQ15" s="50"/>
      <c r="GR15" s="50"/>
      <c r="GS15" s="50"/>
      <c r="GT15" s="50"/>
      <c r="GU15" s="470"/>
      <c r="GZ15" s="143"/>
      <c r="HA15" s="464"/>
      <c r="HI15" s="143"/>
      <c r="HJ15" s="464"/>
      <c r="HR15" s="143"/>
      <c r="HS15" s="464"/>
      <c r="IB15" s="464"/>
      <c r="IK15" s="464"/>
      <c r="IT15" s="464"/>
      <c r="JC15" s="464"/>
      <c r="JL15" s="464"/>
      <c r="JU15" s="464"/>
      <c r="KD15" s="464"/>
      <c r="KM15" s="464"/>
      <c r="KV15" s="464"/>
      <c r="LE15" s="464"/>
      <c r="MF15" s="464"/>
      <c r="MO15" s="464"/>
      <c r="MX15" s="464"/>
      <c r="NG15" s="464"/>
      <c r="NP15" s="464"/>
      <c r="NY15" s="464"/>
      <c r="OE15" s="37"/>
    </row>
    <row r="16" spans="1:396" ht="18">
      <c r="A16" s="84" t="s">
        <v>1653</v>
      </c>
      <c r="B16" s="46">
        <f t="shared" si="0"/>
        <v>50847.912499999926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0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0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0"/>
      <c r="S16" s="458">
        <v>74.625000000000114</v>
      </c>
      <c r="T16" s="50">
        <v>60.799999999999955</v>
      </c>
      <c r="U16" s="508">
        <v>218.10000000000048</v>
      </c>
      <c r="V16" s="50">
        <f>'Punten per wedstrijd'!F15</f>
        <v>426.39999999999941</v>
      </c>
      <c r="W16" s="470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0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70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0"/>
      <c r="AM16" s="458">
        <v>75.650000000000091</v>
      </c>
      <c r="AN16" s="458">
        <v>198.14999999999964</v>
      </c>
      <c r="AO16" s="458">
        <v>289.80000000000041</v>
      </c>
      <c r="AP16" s="50">
        <v>623.25000000000182</v>
      </c>
      <c r="AQ16" s="470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70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70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70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70"/>
      <c r="BL16" s="50">
        <v>0</v>
      </c>
      <c r="BM16" s="50">
        <v>56.999999999999545</v>
      </c>
      <c r="BN16" s="50">
        <v>234.89999999999918</v>
      </c>
      <c r="BO16" s="518">
        <v>430.7</v>
      </c>
      <c r="BP16" s="470"/>
      <c r="BQ16" s="50">
        <v>1.7499999999990905</v>
      </c>
      <c r="BR16" s="50">
        <v>152.39999999999918</v>
      </c>
      <c r="BS16" s="50">
        <v>203.84999999999945</v>
      </c>
      <c r="BT16" s="518">
        <v>761.30000000000291</v>
      </c>
      <c r="BU16" s="470"/>
      <c r="BV16" s="50">
        <v>0</v>
      </c>
      <c r="BW16" s="50">
        <v>0</v>
      </c>
      <c r="BX16" s="50">
        <v>693.22499999999945</v>
      </c>
      <c r="BY16" s="50">
        <v>714.49999999999727</v>
      </c>
      <c r="BZ16" s="470"/>
      <c r="CA16" s="50">
        <v>0</v>
      </c>
      <c r="CB16" s="50">
        <v>0</v>
      </c>
      <c r="CC16" s="50">
        <v>142.27499999999782</v>
      </c>
      <c r="CD16" s="50">
        <v>319.49999999999727</v>
      </c>
      <c r="CE16" s="470"/>
      <c r="CF16" s="50">
        <v>0</v>
      </c>
      <c r="CG16" s="50">
        <v>0</v>
      </c>
      <c r="CH16" s="50">
        <v>294.37499999999864</v>
      </c>
      <c r="CI16" s="50">
        <v>178.59999999999764</v>
      </c>
      <c r="CJ16" s="470"/>
      <c r="CK16" s="50">
        <v>0</v>
      </c>
      <c r="CL16" s="50">
        <v>0</v>
      </c>
      <c r="CM16" s="50">
        <v>362.70000000000027</v>
      </c>
      <c r="CN16" s="50">
        <v>134.39999999999782</v>
      </c>
      <c r="CO16" s="470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0"/>
      <c r="CU16" s="50">
        <v>0</v>
      </c>
      <c r="CV16" s="50">
        <v>0</v>
      </c>
      <c r="CW16" s="50">
        <v>294.60000000000218</v>
      </c>
      <c r="CX16" s="50">
        <v>250.19999999999891</v>
      </c>
      <c r="CY16" s="470"/>
      <c r="CZ16" s="50">
        <v>0</v>
      </c>
      <c r="DA16" s="50">
        <v>0</v>
      </c>
      <c r="DB16" s="50">
        <v>58.500000000005457</v>
      </c>
      <c r="DC16" s="50">
        <v>206.99999999999818</v>
      </c>
      <c r="DD16" s="470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0"/>
      <c r="DJ16" s="50">
        <v>0</v>
      </c>
      <c r="DK16" s="50">
        <v>0</v>
      </c>
      <c r="DL16" s="50">
        <v>0</v>
      </c>
      <c r="DM16" s="50">
        <v>0</v>
      </c>
      <c r="DN16" s="470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0"/>
      <c r="DT16" s="50">
        <v>0</v>
      </c>
      <c r="DU16" s="50">
        <v>0</v>
      </c>
      <c r="DV16" s="50">
        <v>430.64999999999782</v>
      </c>
      <c r="DW16" s="50">
        <v>549</v>
      </c>
      <c r="DX16" s="470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0"/>
      <c r="ED16" s="50">
        <v>0</v>
      </c>
      <c r="EE16" s="50">
        <v>0</v>
      </c>
      <c r="EF16" s="50">
        <v>0</v>
      </c>
      <c r="EG16" s="50">
        <v>0</v>
      </c>
      <c r="EH16" s="470"/>
      <c r="EI16" s="50">
        <v>0</v>
      </c>
      <c r="EJ16" s="50">
        <v>0</v>
      </c>
      <c r="EK16" s="50">
        <v>267.75</v>
      </c>
      <c r="EL16" s="50">
        <v>318.799999999992</v>
      </c>
      <c r="EM16" s="470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0"/>
      <c r="ES16" s="50">
        <v>0</v>
      </c>
      <c r="ET16" s="50">
        <v>149.04999999999927</v>
      </c>
      <c r="EU16" s="50">
        <v>188.92500000000382</v>
      </c>
      <c r="EV16" s="50">
        <v>0</v>
      </c>
      <c r="EW16" s="470"/>
      <c r="EX16" s="50">
        <v>0</v>
      </c>
      <c r="EY16" s="50">
        <v>0</v>
      </c>
      <c r="EZ16" s="50">
        <v>0</v>
      </c>
      <c r="FA16" s="50">
        <v>316.49999999999636</v>
      </c>
      <c r="FB16" s="470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0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0"/>
      <c r="FM16" s="50">
        <v>0</v>
      </c>
      <c r="FN16" s="50">
        <v>0</v>
      </c>
      <c r="FO16" s="50">
        <v>0</v>
      </c>
      <c r="FP16" s="50">
        <v>126.70000000000073</v>
      </c>
      <c r="FQ16" s="470"/>
      <c r="FR16" s="50">
        <v>0</v>
      </c>
      <c r="FS16" s="50">
        <v>0</v>
      </c>
      <c r="FT16" s="50">
        <v>0</v>
      </c>
      <c r="FU16" s="50">
        <v>513</v>
      </c>
      <c r="FV16" s="470"/>
      <c r="FW16" s="50">
        <v>0</v>
      </c>
      <c r="FX16" s="50">
        <v>0</v>
      </c>
      <c r="FY16" s="50">
        <v>0</v>
      </c>
      <c r="FZ16" s="50">
        <v>0</v>
      </c>
      <c r="GA16" s="470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0"/>
      <c r="GG16" s="50">
        <v>0</v>
      </c>
      <c r="GH16" s="50">
        <v>0</v>
      </c>
      <c r="GI16" s="50">
        <v>0</v>
      </c>
      <c r="GJ16" s="50">
        <v>0</v>
      </c>
      <c r="GK16" s="470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0"/>
      <c r="GQ16" s="50">
        <v>0</v>
      </c>
      <c r="GR16" s="50">
        <v>138.24999999999636</v>
      </c>
      <c r="GS16" s="50">
        <v>200.0625</v>
      </c>
      <c r="GT16" s="50">
        <v>294.5</v>
      </c>
      <c r="GU16" s="470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48031.31250000016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0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0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0"/>
      <c r="S17" s="458">
        <v>60.650000000000034</v>
      </c>
      <c r="T17" s="50">
        <v>93.699999999999932</v>
      </c>
      <c r="U17" s="508">
        <v>260.77499999999986</v>
      </c>
      <c r="V17" s="50">
        <f>'Punten per wedstrijd'!F16</f>
        <v>345.59999999999968</v>
      </c>
      <c r="W17" s="470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0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70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0"/>
      <c r="AM17" s="458">
        <v>112.65000000000009</v>
      </c>
      <c r="AN17" s="458">
        <v>271.09999999999945</v>
      </c>
      <c r="AO17" s="458">
        <v>226.64999999999952</v>
      </c>
      <c r="AP17" s="50">
        <v>700.39999999999964</v>
      </c>
      <c r="AQ17" s="470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70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70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70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70"/>
      <c r="BL17" s="50">
        <v>0</v>
      </c>
      <c r="BM17" s="50">
        <v>12.099999999999454</v>
      </c>
      <c r="BN17" s="50">
        <v>384.75000000000068</v>
      </c>
      <c r="BO17" s="518">
        <v>388.4</v>
      </c>
      <c r="BP17" s="470"/>
      <c r="BQ17" s="50">
        <v>88.899999999999636</v>
      </c>
      <c r="BR17" s="50">
        <v>165.24999999999864</v>
      </c>
      <c r="BS17" s="50">
        <v>277.72500000000082</v>
      </c>
      <c r="BT17" s="518">
        <v>453.40000000000055</v>
      </c>
      <c r="BU17" s="470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0"/>
      <c r="CA17" s="50">
        <v>40.424999999999727</v>
      </c>
      <c r="CB17" s="50">
        <v>0</v>
      </c>
      <c r="CC17" s="50">
        <v>155.02500000000055</v>
      </c>
      <c r="CD17" s="50">
        <v>391</v>
      </c>
      <c r="CE17" s="470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0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0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0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0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0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0"/>
      <c r="DJ17" s="50">
        <v>96.950000000000273</v>
      </c>
      <c r="DK17" s="50">
        <v>0</v>
      </c>
      <c r="DL17" s="50">
        <v>0</v>
      </c>
      <c r="DM17" s="50">
        <v>0</v>
      </c>
      <c r="DN17" s="470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0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0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0"/>
      <c r="ED17" s="50">
        <v>39.499999999999091</v>
      </c>
      <c r="EE17" s="50">
        <v>0</v>
      </c>
      <c r="EF17" s="50">
        <v>0</v>
      </c>
      <c r="EG17" s="50">
        <v>0</v>
      </c>
      <c r="EH17" s="470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0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0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0"/>
      <c r="EX17" s="50">
        <v>58.649999999999636</v>
      </c>
      <c r="EY17" s="50">
        <v>0</v>
      </c>
      <c r="EZ17" s="50">
        <v>0</v>
      </c>
      <c r="FA17" s="50">
        <v>299.00000000001091</v>
      </c>
      <c r="FB17" s="470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0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0"/>
      <c r="FM17" s="50">
        <v>104.82500000000073</v>
      </c>
      <c r="FN17" s="50">
        <v>0</v>
      </c>
      <c r="FO17" s="50">
        <v>0</v>
      </c>
      <c r="FP17" s="50">
        <v>115.10000000000218</v>
      </c>
      <c r="FQ17" s="470"/>
      <c r="FR17" s="50">
        <v>46.475000000000364</v>
      </c>
      <c r="FS17" s="50">
        <v>0</v>
      </c>
      <c r="FT17" s="50">
        <v>0</v>
      </c>
      <c r="FU17" s="50">
        <v>395.80000000000291</v>
      </c>
      <c r="FV17" s="470"/>
      <c r="FW17" s="50">
        <v>2.2499999999997726</v>
      </c>
      <c r="FX17" s="50">
        <v>0</v>
      </c>
      <c r="FY17" s="50">
        <v>0</v>
      </c>
      <c r="FZ17" s="50">
        <v>0</v>
      </c>
      <c r="GA17" s="470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0"/>
      <c r="GG17" s="50">
        <v>44.850000000000364</v>
      </c>
      <c r="GH17" s="50">
        <v>0</v>
      </c>
      <c r="GI17" s="50">
        <v>0</v>
      </c>
      <c r="GJ17" s="50">
        <v>0</v>
      </c>
      <c r="GK17" s="470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0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0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2057</v>
      </c>
      <c r="B18" s="46">
        <f t="shared" si="0"/>
        <v>18993.912500000089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0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0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0"/>
      <c r="S18" s="458">
        <v>0</v>
      </c>
      <c r="T18" s="50">
        <v>0</v>
      </c>
      <c r="U18" s="508">
        <v>41.024999999999693</v>
      </c>
      <c r="V18" s="50">
        <f>'Punten per wedstrijd'!F17</f>
        <v>243.7999999999995</v>
      </c>
      <c r="W18" s="470"/>
      <c r="X18" s="50">
        <v>0</v>
      </c>
      <c r="Y18" s="50">
        <v>0</v>
      </c>
      <c r="Z18" s="50">
        <v>154.125</v>
      </c>
      <c r="AA18" s="50">
        <v>417.99999999999977</v>
      </c>
      <c r="AB18" s="470"/>
      <c r="AC18" s="50">
        <v>0</v>
      </c>
      <c r="AD18" s="50">
        <v>0</v>
      </c>
      <c r="AE18" s="50">
        <v>404.625</v>
      </c>
      <c r="AF18" s="50">
        <v>718.39999999999964</v>
      </c>
      <c r="AG18" s="470"/>
      <c r="AH18" s="50">
        <v>0</v>
      </c>
      <c r="AI18" s="50">
        <v>0</v>
      </c>
      <c r="AJ18" s="50">
        <v>255.75</v>
      </c>
      <c r="AK18" s="50">
        <v>596.29999999999973</v>
      </c>
      <c r="AL18" s="470"/>
      <c r="AM18" s="458">
        <v>0</v>
      </c>
      <c r="AN18" s="458">
        <v>0</v>
      </c>
      <c r="AO18" s="458">
        <v>297.26249999999993</v>
      </c>
      <c r="AP18" s="50">
        <v>316.5</v>
      </c>
      <c r="AQ18" s="470"/>
      <c r="AR18" s="50">
        <v>0</v>
      </c>
      <c r="AS18" s="50">
        <v>0</v>
      </c>
      <c r="AT18" s="50">
        <v>71.099999999999795</v>
      </c>
      <c r="AU18" s="50">
        <v>38.4</v>
      </c>
      <c r="AV18" s="470"/>
      <c r="AW18" s="50">
        <v>0</v>
      </c>
      <c r="AX18" s="50">
        <v>0</v>
      </c>
      <c r="AY18" s="50">
        <v>405.67499999999905</v>
      </c>
      <c r="AZ18" s="50">
        <v>895.30000000000109</v>
      </c>
      <c r="BA18" s="470"/>
      <c r="BB18" s="50">
        <v>0</v>
      </c>
      <c r="BC18" s="50">
        <v>0</v>
      </c>
      <c r="BD18" s="50">
        <v>244.875</v>
      </c>
      <c r="BE18" s="50">
        <v>446.3</v>
      </c>
      <c r="BF18" s="470"/>
      <c r="BG18" s="50">
        <v>0</v>
      </c>
      <c r="BH18" s="50">
        <v>0</v>
      </c>
      <c r="BI18" s="50">
        <v>71.174999999999727</v>
      </c>
      <c r="BJ18" s="50">
        <v>0</v>
      </c>
      <c r="BK18" s="470"/>
      <c r="BL18" s="50">
        <v>0</v>
      </c>
      <c r="BM18" s="50">
        <v>0</v>
      </c>
      <c r="BN18" s="50">
        <v>348.75</v>
      </c>
      <c r="BO18" s="518">
        <v>81.5</v>
      </c>
      <c r="BP18" s="470"/>
      <c r="BQ18" s="50">
        <v>0</v>
      </c>
      <c r="BR18" s="50">
        <v>0</v>
      </c>
      <c r="BS18" s="50">
        <v>423.45000000000027</v>
      </c>
      <c r="BT18" s="518">
        <v>406.49999999999909</v>
      </c>
      <c r="BU18" s="470"/>
      <c r="BV18" s="50">
        <v>0</v>
      </c>
      <c r="BW18" s="50">
        <v>0</v>
      </c>
      <c r="BX18" s="50">
        <v>0</v>
      </c>
      <c r="BY18" s="50">
        <v>482.49999999999909</v>
      </c>
      <c r="BZ18" s="470"/>
      <c r="CA18" s="50">
        <v>0</v>
      </c>
      <c r="CB18" s="50">
        <v>0</v>
      </c>
      <c r="CC18" s="50">
        <v>0</v>
      </c>
      <c r="CD18" s="50">
        <v>442.89999999999964</v>
      </c>
      <c r="CE18" s="470"/>
      <c r="CF18" s="50">
        <v>0</v>
      </c>
      <c r="CG18" s="50">
        <v>0</v>
      </c>
      <c r="CH18" s="50">
        <v>0</v>
      </c>
      <c r="CI18" s="50">
        <v>489.45000000000073</v>
      </c>
      <c r="CJ18" s="470"/>
      <c r="CK18" s="50">
        <v>0</v>
      </c>
      <c r="CL18" s="50">
        <v>0</v>
      </c>
      <c r="CM18" s="50">
        <v>0</v>
      </c>
      <c r="CN18" s="50">
        <v>362.10000000000036</v>
      </c>
      <c r="CO18" s="470"/>
      <c r="CP18" s="50">
        <v>0</v>
      </c>
      <c r="CQ18" s="50">
        <v>0</v>
      </c>
      <c r="CR18" s="50">
        <v>0</v>
      </c>
      <c r="CS18" s="50">
        <v>122.50000000000091</v>
      </c>
      <c r="CT18" s="470"/>
      <c r="CU18" s="50">
        <v>0</v>
      </c>
      <c r="CV18" s="50">
        <v>0</v>
      </c>
      <c r="CW18" s="50">
        <v>0</v>
      </c>
      <c r="CX18" s="50">
        <v>534.39999999999873</v>
      </c>
      <c r="CY18" s="470"/>
      <c r="CZ18" s="50">
        <v>0</v>
      </c>
      <c r="DA18" s="50">
        <v>0</v>
      </c>
      <c r="DB18" s="50">
        <v>0</v>
      </c>
      <c r="DC18" s="50">
        <v>79.199999999997999</v>
      </c>
      <c r="DD18" s="470"/>
      <c r="DE18" s="50">
        <v>0</v>
      </c>
      <c r="DF18" s="50">
        <v>0</v>
      </c>
      <c r="DG18" s="50">
        <v>0</v>
      </c>
      <c r="DH18" s="50">
        <v>1187.2</v>
      </c>
      <c r="DI18" s="470"/>
      <c r="DJ18" s="50">
        <v>0</v>
      </c>
      <c r="DK18" s="50">
        <v>0</v>
      </c>
      <c r="DL18" s="50">
        <v>0</v>
      </c>
      <c r="DM18" s="50">
        <v>0</v>
      </c>
      <c r="DN18" s="470"/>
      <c r="DO18" s="50">
        <v>0</v>
      </c>
      <c r="DP18" s="50">
        <v>0</v>
      </c>
      <c r="DQ18" s="50">
        <v>0</v>
      </c>
      <c r="DR18" s="50">
        <v>440.80000000000291</v>
      </c>
      <c r="DS18" s="470"/>
      <c r="DT18" s="50">
        <v>0</v>
      </c>
      <c r="DU18" s="50">
        <v>0</v>
      </c>
      <c r="DV18" s="50">
        <v>0</v>
      </c>
      <c r="DW18" s="50">
        <v>334.80000000000291</v>
      </c>
      <c r="DX18" s="470"/>
      <c r="DY18" s="50">
        <v>0</v>
      </c>
      <c r="DZ18" s="50">
        <v>0</v>
      </c>
      <c r="EA18" s="50">
        <v>0</v>
      </c>
      <c r="EB18" s="50">
        <v>2291.9000000000815</v>
      </c>
      <c r="EC18" s="470"/>
      <c r="ED18" s="50">
        <v>0</v>
      </c>
      <c r="EE18" s="50">
        <v>0</v>
      </c>
      <c r="EF18" s="50">
        <v>0</v>
      </c>
      <c r="EG18" s="50">
        <v>0</v>
      </c>
      <c r="EH18" s="470"/>
      <c r="EI18" s="50">
        <v>0</v>
      </c>
      <c r="EJ18" s="50">
        <v>0</v>
      </c>
      <c r="EK18" s="50">
        <v>0</v>
      </c>
      <c r="EL18" s="50">
        <v>240.00000000000364</v>
      </c>
      <c r="EM18" s="470"/>
      <c r="EN18" s="50">
        <v>0</v>
      </c>
      <c r="EO18" s="50">
        <v>0</v>
      </c>
      <c r="EP18" s="50">
        <v>0</v>
      </c>
      <c r="EQ18" s="50">
        <v>137.49999999999818</v>
      </c>
      <c r="ER18" s="470"/>
      <c r="ES18" s="50">
        <v>0</v>
      </c>
      <c r="ET18" s="50">
        <v>0</v>
      </c>
      <c r="EU18" s="50">
        <v>0</v>
      </c>
      <c r="EV18" s="50">
        <v>0</v>
      </c>
      <c r="EW18" s="470"/>
      <c r="EX18" s="50">
        <v>0</v>
      </c>
      <c r="EY18" s="50">
        <v>0</v>
      </c>
      <c r="EZ18" s="50">
        <v>0</v>
      </c>
      <c r="FA18" s="50">
        <v>60.199999999998909</v>
      </c>
      <c r="FB18" s="470"/>
      <c r="FC18" s="50">
        <v>0</v>
      </c>
      <c r="FD18" s="50">
        <v>0</v>
      </c>
      <c r="FE18" s="50">
        <v>0</v>
      </c>
      <c r="FF18" s="50">
        <v>2400.4999999999995</v>
      </c>
      <c r="FG18" s="470"/>
      <c r="FH18" s="50">
        <v>0</v>
      </c>
      <c r="FI18" s="50">
        <v>0</v>
      </c>
      <c r="FJ18" s="50">
        <v>0</v>
      </c>
      <c r="FK18" s="50">
        <v>9.8000000000010914</v>
      </c>
      <c r="FL18" s="470"/>
      <c r="FM18" s="50">
        <v>0</v>
      </c>
      <c r="FN18" s="50">
        <v>0</v>
      </c>
      <c r="FO18" s="50">
        <v>0</v>
      </c>
      <c r="FP18" s="50">
        <v>238.59999999999854</v>
      </c>
      <c r="FQ18" s="470"/>
      <c r="FR18" s="50">
        <v>0</v>
      </c>
      <c r="FS18" s="50">
        <v>0</v>
      </c>
      <c r="FT18" s="50">
        <v>0</v>
      </c>
      <c r="FU18" s="50">
        <v>385.69999999999891</v>
      </c>
      <c r="FV18" s="470"/>
      <c r="FW18" s="50">
        <v>0</v>
      </c>
      <c r="FX18" s="50">
        <v>0</v>
      </c>
      <c r="FY18" s="50">
        <v>0</v>
      </c>
      <c r="FZ18" s="50">
        <v>0</v>
      </c>
      <c r="GA18" s="470"/>
      <c r="GB18" s="50">
        <v>0</v>
      </c>
      <c r="GC18" s="50">
        <v>0</v>
      </c>
      <c r="GD18" s="50">
        <v>0</v>
      </c>
      <c r="GE18" s="50">
        <v>288</v>
      </c>
      <c r="GF18" s="470"/>
      <c r="GG18" s="50">
        <v>0</v>
      </c>
      <c r="GH18" s="50">
        <v>0</v>
      </c>
      <c r="GI18" s="50">
        <v>0</v>
      </c>
      <c r="GJ18" s="50">
        <v>0</v>
      </c>
      <c r="GK18" s="470"/>
      <c r="GL18" s="50">
        <v>0</v>
      </c>
      <c r="GM18" s="50">
        <v>0</v>
      </c>
      <c r="GN18" s="50">
        <v>0</v>
      </c>
      <c r="GO18" s="50">
        <v>563.40000000000509</v>
      </c>
      <c r="GP18" s="470"/>
      <c r="GQ18" s="50">
        <v>0</v>
      </c>
      <c r="GR18" s="50">
        <v>0</v>
      </c>
      <c r="GS18" s="50">
        <v>0</v>
      </c>
      <c r="GT18" s="50">
        <v>125.00000000000728</v>
      </c>
      <c r="GU18" s="470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43401.586499999932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0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0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0"/>
      <c r="S19" s="458">
        <v>47.625000000000057</v>
      </c>
      <c r="T19" s="50">
        <v>154.34999999999991</v>
      </c>
      <c r="U19" s="508">
        <v>174.37500000000017</v>
      </c>
      <c r="V19" s="50">
        <f>'Punten per wedstrijd'!F18</f>
        <v>262.20000000000027</v>
      </c>
      <c r="W19" s="470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0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70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0"/>
      <c r="AM19" s="458">
        <v>84.250000000000341</v>
      </c>
      <c r="AN19" s="458">
        <v>294.52499999999964</v>
      </c>
      <c r="AO19" s="458">
        <v>255.37500000000102</v>
      </c>
      <c r="AP19" s="50">
        <v>98.399999999999181</v>
      </c>
      <c r="AQ19" s="470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70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70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70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70"/>
      <c r="BL19" s="50">
        <v>0</v>
      </c>
      <c r="BM19" s="50">
        <v>153.35000000000036</v>
      </c>
      <c r="BN19" s="50">
        <v>267.22500000000082</v>
      </c>
      <c r="BO19" s="518">
        <v>134.80000000000001</v>
      </c>
      <c r="BP19" s="470"/>
      <c r="BQ19" s="50">
        <v>50.875</v>
      </c>
      <c r="BR19" s="50">
        <v>210.67500000000064</v>
      </c>
      <c r="BS19" s="50">
        <v>455.85000000000014</v>
      </c>
      <c r="BT19" s="518">
        <v>175.29999999999973</v>
      </c>
      <c r="BU19" s="470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0"/>
      <c r="CA19" s="50">
        <v>42.849999999999909</v>
      </c>
      <c r="CB19" s="50">
        <v>0</v>
      </c>
      <c r="CC19" s="50">
        <v>234.75</v>
      </c>
      <c r="CD19" s="50">
        <v>532</v>
      </c>
      <c r="CE19" s="470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0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0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0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0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0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0"/>
      <c r="DJ19" s="50">
        <v>75.950000000000728</v>
      </c>
      <c r="DK19" s="50">
        <v>0</v>
      </c>
      <c r="DL19" s="50">
        <v>0</v>
      </c>
      <c r="DM19" s="50">
        <v>0</v>
      </c>
      <c r="DN19" s="470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0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0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0"/>
      <c r="ED19" s="50">
        <v>49.000000000000455</v>
      </c>
      <c r="EE19" s="50">
        <v>0</v>
      </c>
      <c r="EF19" s="50">
        <v>0</v>
      </c>
      <c r="EG19" s="50">
        <v>0</v>
      </c>
      <c r="EH19" s="470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0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0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0"/>
      <c r="EX19" s="50">
        <v>75.600000000000364</v>
      </c>
      <c r="EY19" s="50">
        <v>0</v>
      </c>
      <c r="EZ19" s="50">
        <v>0</v>
      </c>
      <c r="FA19" s="50">
        <v>273.59999999999854</v>
      </c>
      <c r="FB19" s="470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0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0"/>
      <c r="FM19" s="50">
        <v>105.57499999999891</v>
      </c>
      <c r="FN19" s="50">
        <v>0</v>
      </c>
      <c r="FO19" s="50">
        <v>0</v>
      </c>
      <c r="FP19" s="50">
        <v>393.29999999998836</v>
      </c>
      <c r="FQ19" s="470"/>
      <c r="FR19" s="50">
        <v>115.02499999999873</v>
      </c>
      <c r="FS19" s="50">
        <v>0</v>
      </c>
      <c r="FT19" s="50">
        <v>0</v>
      </c>
      <c r="FU19" s="50">
        <v>366.29999999998836</v>
      </c>
      <c r="FV19" s="470"/>
      <c r="FW19" s="50">
        <v>87.749999999999773</v>
      </c>
      <c r="FX19" s="50">
        <v>0</v>
      </c>
      <c r="FY19" s="50">
        <v>0</v>
      </c>
      <c r="FZ19" s="50">
        <v>0</v>
      </c>
      <c r="GA19" s="470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0"/>
      <c r="GG19" s="50">
        <v>54.225000000001273</v>
      </c>
      <c r="GH19" s="50">
        <v>0</v>
      </c>
      <c r="GI19" s="50">
        <v>0</v>
      </c>
      <c r="GJ19" s="50">
        <v>0</v>
      </c>
      <c r="GK19" s="470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0"/>
      <c r="GQ19" s="50">
        <v>61.125000000000455</v>
      </c>
      <c r="GR19" s="50">
        <v>104.5</v>
      </c>
      <c r="GS19" s="50">
        <v>216.375</v>
      </c>
      <c r="GT19" s="50">
        <v>403</v>
      </c>
      <c r="GU19" s="470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2010</v>
      </c>
      <c r="B20" s="46">
        <f t="shared" si="0"/>
        <v>44047.624999999942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0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0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0"/>
      <c r="S20" s="458">
        <v>0</v>
      </c>
      <c r="T20" s="50">
        <v>114.05000000000018</v>
      </c>
      <c r="U20" s="508">
        <v>176.40000000000003</v>
      </c>
      <c r="V20" s="50">
        <f>'Punten per wedstrijd'!F19</f>
        <v>259.5</v>
      </c>
      <c r="W20" s="470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0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70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0"/>
      <c r="AM20" s="458">
        <v>0</v>
      </c>
      <c r="AN20" s="458">
        <v>266.49999999999932</v>
      </c>
      <c r="AO20" s="458">
        <v>402.07500000000027</v>
      </c>
      <c r="AP20" s="50">
        <v>609.60000000000127</v>
      </c>
      <c r="AQ20" s="470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70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70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70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70"/>
      <c r="BL20" s="50">
        <v>0</v>
      </c>
      <c r="BM20" s="50">
        <v>79.799999999999272</v>
      </c>
      <c r="BN20" s="50">
        <v>258.37500000000136</v>
      </c>
      <c r="BO20" s="518">
        <v>191.5</v>
      </c>
      <c r="BP20" s="470"/>
      <c r="BQ20" s="50">
        <v>0</v>
      </c>
      <c r="BR20" s="50">
        <v>176.69999999999936</v>
      </c>
      <c r="BS20" s="50">
        <v>160.20000000000095</v>
      </c>
      <c r="BT20" s="518">
        <v>514.40000000000146</v>
      </c>
      <c r="BU20" s="470"/>
      <c r="BV20" s="50">
        <v>0</v>
      </c>
      <c r="BW20" s="50">
        <v>0</v>
      </c>
      <c r="BX20" s="50">
        <v>591.60000000000014</v>
      </c>
      <c r="BY20" s="50">
        <v>647.20000000000164</v>
      </c>
      <c r="BZ20" s="470"/>
      <c r="CA20" s="50">
        <v>0</v>
      </c>
      <c r="CB20" s="50">
        <v>0</v>
      </c>
      <c r="CC20" s="50">
        <v>145.12500000000273</v>
      </c>
      <c r="CD20" s="50">
        <v>263.10000000000036</v>
      </c>
      <c r="CE20" s="470"/>
      <c r="CF20" s="50">
        <v>0</v>
      </c>
      <c r="CG20" s="50">
        <v>0</v>
      </c>
      <c r="CH20" s="50">
        <v>258.97499999999945</v>
      </c>
      <c r="CI20" s="50">
        <v>91.799999999999272</v>
      </c>
      <c r="CJ20" s="470"/>
      <c r="CK20" s="50">
        <v>0</v>
      </c>
      <c r="CL20" s="50">
        <v>0</v>
      </c>
      <c r="CM20" s="50">
        <v>334.64999999999782</v>
      </c>
      <c r="CN20" s="50">
        <v>198.79999999999927</v>
      </c>
      <c r="CO20" s="470"/>
      <c r="CP20" s="50">
        <v>0</v>
      </c>
      <c r="CQ20" s="50">
        <v>0</v>
      </c>
      <c r="CR20" s="50">
        <v>343.64999999999782</v>
      </c>
      <c r="CS20" s="50">
        <v>405.89999999999964</v>
      </c>
      <c r="CT20" s="470"/>
      <c r="CU20" s="50">
        <v>0</v>
      </c>
      <c r="CV20" s="50">
        <v>0</v>
      </c>
      <c r="CW20" s="50">
        <v>246.37499999999727</v>
      </c>
      <c r="CX20" s="50">
        <v>314.99999999999636</v>
      </c>
      <c r="CY20" s="470"/>
      <c r="CZ20" s="50">
        <v>0</v>
      </c>
      <c r="DA20" s="50">
        <v>0</v>
      </c>
      <c r="DB20" s="50">
        <v>89.625</v>
      </c>
      <c r="DC20" s="50">
        <v>208.19999999999709</v>
      </c>
      <c r="DD20" s="470"/>
      <c r="DE20" s="50">
        <v>0</v>
      </c>
      <c r="DF20" s="50">
        <v>0</v>
      </c>
      <c r="DG20" s="50">
        <v>2461.3500000000008</v>
      </c>
      <c r="DH20" s="50">
        <v>2432.199999999998</v>
      </c>
      <c r="DI20" s="470"/>
      <c r="DJ20" s="50">
        <v>0</v>
      </c>
      <c r="DK20" s="50">
        <v>0</v>
      </c>
      <c r="DL20" s="50">
        <v>0</v>
      </c>
      <c r="DM20" s="50">
        <v>0</v>
      </c>
      <c r="DN20" s="470"/>
      <c r="DO20" s="50">
        <v>0</v>
      </c>
      <c r="DP20" s="50">
        <v>0</v>
      </c>
      <c r="DQ20" s="50">
        <v>98.175000000001091</v>
      </c>
      <c r="DR20" s="50">
        <v>660.89999999999418</v>
      </c>
      <c r="DS20" s="470"/>
      <c r="DT20" s="50">
        <v>0</v>
      </c>
      <c r="DU20" s="50">
        <v>0</v>
      </c>
      <c r="DV20" s="50">
        <v>530.10000000000082</v>
      </c>
      <c r="DW20" s="50">
        <v>435.59999999999491</v>
      </c>
      <c r="DX20" s="470"/>
      <c r="DY20" s="50">
        <v>0</v>
      </c>
      <c r="DZ20" s="50">
        <v>0</v>
      </c>
      <c r="EA20" s="50">
        <v>2406.6000000000267</v>
      </c>
      <c r="EB20" s="50">
        <v>3752.7999999999047</v>
      </c>
      <c r="EC20" s="470"/>
      <c r="ED20" s="50">
        <v>0</v>
      </c>
      <c r="EE20" s="50">
        <v>0</v>
      </c>
      <c r="EF20" s="50">
        <v>0</v>
      </c>
      <c r="EG20" s="50">
        <v>0</v>
      </c>
      <c r="EH20" s="470"/>
      <c r="EI20" s="50">
        <v>0</v>
      </c>
      <c r="EJ20" s="50">
        <v>0</v>
      </c>
      <c r="EK20" s="50">
        <v>103.42499999999836</v>
      </c>
      <c r="EL20" s="50">
        <v>256.99999999999636</v>
      </c>
      <c r="EM20" s="470"/>
      <c r="EN20" s="50">
        <v>0</v>
      </c>
      <c r="EO20" s="50">
        <v>0</v>
      </c>
      <c r="EP20" s="50">
        <v>89.399999999997817</v>
      </c>
      <c r="EQ20" s="50">
        <v>364.80000000000655</v>
      </c>
      <c r="ER20" s="470"/>
      <c r="ES20" s="50">
        <v>0</v>
      </c>
      <c r="ET20" s="50">
        <v>0</v>
      </c>
      <c r="EU20" s="50">
        <v>194.69999999999891</v>
      </c>
      <c r="EV20" s="50">
        <v>0</v>
      </c>
      <c r="EW20" s="470"/>
      <c r="EX20" s="50">
        <v>0</v>
      </c>
      <c r="EY20" s="50">
        <v>0</v>
      </c>
      <c r="EZ20" s="50">
        <v>0</v>
      </c>
      <c r="FA20" s="50">
        <v>297.09999999999854</v>
      </c>
      <c r="FB20" s="470"/>
      <c r="FC20" s="50">
        <v>0</v>
      </c>
      <c r="FD20" s="50">
        <v>0</v>
      </c>
      <c r="FE20" s="50">
        <v>2209.9500000000317</v>
      </c>
      <c r="FF20" s="50">
        <v>3863.6000000000004</v>
      </c>
      <c r="FG20" s="470"/>
      <c r="FH20" s="50">
        <v>0</v>
      </c>
      <c r="FI20" s="50">
        <v>0</v>
      </c>
      <c r="FJ20" s="50">
        <v>191.24999999999727</v>
      </c>
      <c r="FK20" s="50">
        <v>250.40000000000146</v>
      </c>
      <c r="FL20" s="470"/>
      <c r="FM20" s="50">
        <v>0</v>
      </c>
      <c r="FN20" s="50">
        <v>0</v>
      </c>
      <c r="FO20" s="50">
        <v>0</v>
      </c>
      <c r="FP20" s="50">
        <v>268.39999999999782</v>
      </c>
      <c r="FQ20" s="470"/>
      <c r="FR20" s="50">
        <v>0</v>
      </c>
      <c r="FS20" s="50">
        <v>0</v>
      </c>
      <c r="FT20" s="50">
        <v>0</v>
      </c>
      <c r="FU20" s="50">
        <v>437</v>
      </c>
      <c r="FV20" s="470"/>
      <c r="FW20" s="50">
        <v>0</v>
      </c>
      <c r="FX20" s="50">
        <v>0</v>
      </c>
      <c r="FY20" s="50">
        <v>0</v>
      </c>
      <c r="FZ20" s="50">
        <v>0</v>
      </c>
      <c r="GA20" s="470"/>
      <c r="GB20" s="50">
        <v>0</v>
      </c>
      <c r="GC20" s="50">
        <v>0</v>
      </c>
      <c r="GD20" s="50">
        <v>394.38750000000437</v>
      </c>
      <c r="GE20" s="50">
        <v>193.19999999999709</v>
      </c>
      <c r="GF20" s="470"/>
      <c r="GG20" s="50">
        <v>0</v>
      </c>
      <c r="GH20" s="50">
        <v>0</v>
      </c>
      <c r="GI20" s="50">
        <v>0</v>
      </c>
      <c r="GJ20" s="50">
        <v>0</v>
      </c>
      <c r="GK20" s="470"/>
      <c r="GL20" s="50">
        <v>0</v>
      </c>
      <c r="GM20" s="50">
        <v>0</v>
      </c>
      <c r="GN20" s="50">
        <v>808.65000000001146</v>
      </c>
      <c r="GO20" s="50">
        <v>1051.0999999999985</v>
      </c>
      <c r="GP20" s="470"/>
      <c r="GQ20" s="50">
        <v>0</v>
      </c>
      <c r="GR20" s="50">
        <v>0</v>
      </c>
      <c r="GS20" s="50">
        <v>197.43750000000819</v>
      </c>
      <c r="GT20" s="50">
        <v>385.49999999999272</v>
      </c>
      <c r="GU20" s="470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3376</v>
      </c>
      <c r="B21" s="46">
        <f t="shared" si="0"/>
        <v>4941.2</v>
      </c>
      <c r="C21" s="42"/>
      <c r="D21" s="50">
        <v>0</v>
      </c>
      <c r="E21" s="495">
        <v>0</v>
      </c>
      <c r="F21" s="50">
        <v>0</v>
      </c>
      <c r="G21" s="50">
        <f>'Punten per wedstrijd'!E124</f>
        <v>494.40000000000003</v>
      </c>
      <c r="H21" s="470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0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0"/>
      <c r="S21" s="458">
        <v>0</v>
      </c>
      <c r="T21" s="50">
        <v>0</v>
      </c>
      <c r="U21" s="508">
        <v>0</v>
      </c>
      <c r="V21" s="50">
        <f>'Punten per wedstrijd'!F20</f>
        <v>6.0000000000002274</v>
      </c>
      <c r="W21" s="470"/>
      <c r="X21" s="50">
        <v>0</v>
      </c>
      <c r="Y21" s="50">
        <v>0</v>
      </c>
      <c r="Z21" s="50">
        <v>0</v>
      </c>
      <c r="AA21" s="50">
        <v>91.200000000000045</v>
      </c>
      <c r="AB21" s="470"/>
      <c r="AC21" s="50">
        <v>0</v>
      </c>
      <c r="AD21" s="50">
        <v>0</v>
      </c>
      <c r="AE21" s="50">
        <v>0</v>
      </c>
      <c r="AF21" s="50">
        <v>676.30000000000086</v>
      </c>
      <c r="AG21" s="470"/>
      <c r="AH21" s="50">
        <v>0</v>
      </c>
      <c r="AI21" s="50">
        <v>0</v>
      </c>
      <c r="AJ21" s="50">
        <v>0</v>
      </c>
      <c r="AK21" s="50">
        <v>353.70000000000118</v>
      </c>
      <c r="AL21" s="470"/>
      <c r="AM21" s="458">
        <v>0</v>
      </c>
      <c r="AN21" s="458">
        <v>0</v>
      </c>
      <c r="AO21" s="458">
        <v>0</v>
      </c>
      <c r="AP21" s="50">
        <v>606.79999999999973</v>
      </c>
      <c r="AQ21" s="470"/>
      <c r="AR21" s="50">
        <v>0</v>
      </c>
      <c r="AS21" s="50">
        <v>0</v>
      </c>
      <c r="AT21" s="50">
        <v>0</v>
      </c>
      <c r="AU21" s="50">
        <v>338.5</v>
      </c>
      <c r="AV21" s="470"/>
      <c r="AW21" s="50">
        <v>0</v>
      </c>
      <c r="AX21" s="50">
        <v>0</v>
      </c>
      <c r="AY21" s="50">
        <v>0</v>
      </c>
      <c r="AZ21" s="50">
        <v>562.69999999999982</v>
      </c>
      <c r="BA21" s="470"/>
      <c r="BB21" s="495">
        <v>0</v>
      </c>
      <c r="BC21" s="50">
        <v>0</v>
      </c>
      <c r="BD21" s="50">
        <v>0</v>
      </c>
      <c r="BE21" s="50">
        <v>483.5</v>
      </c>
      <c r="BF21" s="470"/>
      <c r="BG21" s="50">
        <v>0</v>
      </c>
      <c r="BH21" s="50">
        <v>0</v>
      </c>
      <c r="BI21" s="50">
        <v>0</v>
      </c>
      <c r="BJ21" s="50">
        <v>179.5</v>
      </c>
      <c r="BK21" s="470"/>
      <c r="BL21" s="50">
        <v>0</v>
      </c>
      <c r="BM21" s="50">
        <v>0</v>
      </c>
      <c r="BN21" s="50">
        <v>0</v>
      </c>
      <c r="BO21" s="518">
        <v>105.39999999999999</v>
      </c>
      <c r="BP21" s="470"/>
      <c r="BQ21" s="50">
        <v>0</v>
      </c>
      <c r="BR21" s="50">
        <v>0</v>
      </c>
      <c r="BS21" s="50">
        <v>0</v>
      </c>
      <c r="BT21" s="518">
        <v>433.99999999999909</v>
      </c>
      <c r="BU21" s="470"/>
      <c r="BV21" s="50"/>
      <c r="BW21" s="50"/>
      <c r="BX21" s="50"/>
      <c r="BY21" s="50"/>
      <c r="BZ21" s="470"/>
      <c r="CA21" s="50"/>
      <c r="CB21" s="50"/>
      <c r="CC21" s="50"/>
      <c r="CD21" s="50"/>
      <c r="CE21" s="470"/>
      <c r="CF21" s="50"/>
      <c r="CG21" s="50"/>
      <c r="CH21" s="50"/>
      <c r="CI21" s="50"/>
      <c r="CJ21" s="470"/>
      <c r="CK21" s="50"/>
      <c r="CL21" s="50"/>
      <c r="CM21" s="50"/>
      <c r="CN21" s="50"/>
      <c r="CO21" s="470"/>
      <c r="CP21" s="50"/>
      <c r="CQ21" s="50"/>
      <c r="CR21" s="50"/>
      <c r="CS21" s="50"/>
      <c r="CT21" s="470"/>
      <c r="CU21" s="50"/>
      <c r="CV21" s="50"/>
      <c r="CW21" s="50"/>
      <c r="CX21" s="50"/>
      <c r="CY21" s="470"/>
      <c r="CZ21" s="50"/>
      <c r="DA21" s="50"/>
      <c r="DB21" s="50"/>
      <c r="DC21" s="50"/>
      <c r="DD21" s="470"/>
      <c r="DE21" s="50"/>
      <c r="DF21" s="50"/>
      <c r="DG21" s="50"/>
      <c r="DH21" s="50"/>
      <c r="DI21" s="470"/>
      <c r="DJ21" s="50"/>
      <c r="DK21" s="50"/>
      <c r="DL21" s="50"/>
      <c r="DM21" s="50"/>
      <c r="DN21" s="470"/>
      <c r="DO21" s="50"/>
      <c r="DP21" s="50"/>
      <c r="DQ21" s="50"/>
      <c r="DR21" s="50"/>
      <c r="DS21" s="470"/>
      <c r="DT21" s="50"/>
      <c r="DU21" s="50"/>
      <c r="DV21" s="50"/>
      <c r="DW21" s="50"/>
      <c r="DX21" s="470"/>
      <c r="DY21" s="50"/>
      <c r="DZ21" s="50"/>
      <c r="EA21" s="50"/>
      <c r="EB21" s="50"/>
      <c r="EC21" s="470"/>
      <c r="ED21" s="50"/>
      <c r="EE21" s="50"/>
      <c r="EF21" s="50"/>
      <c r="EG21" s="50"/>
      <c r="EH21" s="470"/>
      <c r="EI21" s="50"/>
      <c r="EJ21" s="50"/>
      <c r="EK21" s="50"/>
      <c r="EL21" s="50"/>
      <c r="EM21" s="470"/>
      <c r="EN21" s="50"/>
      <c r="EO21" s="50"/>
      <c r="EP21" s="50"/>
      <c r="EQ21" s="50"/>
      <c r="ER21" s="470"/>
      <c r="ES21" s="50"/>
      <c r="ET21" s="50"/>
      <c r="EU21" s="50"/>
      <c r="EV21" s="50"/>
      <c r="EW21" s="470"/>
      <c r="EX21" s="50"/>
      <c r="EY21" s="50"/>
      <c r="EZ21" s="50"/>
      <c r="FA21" s="50"/>
      <c r="FB21" s="470"/>
      <c r="FC21" s="50"/>
      <c r="FD21" s="50"/>
      <c r="FE21" s="50"/>
      <c r="FF21" s="50"/>
      <c r="FG21" s="470"/>
      <c r="FH21" s="50"/>
      <c r="FI21" s="50"/>
      <c r="FJ21" s="50"/>
      <c r="FK21" s="50"/>
      <c r="FL21" s="470"/>
      <c r="FM21" s="50"/>
      <c r="FN21" s="50"/>
      <c r="FO21" s="50"/>
      <c r="FP21" s="50"/>
      <c r="FQ21" s="470"/>
      <c r="FR21" s="50"/>
      <c r="FS21" s="50"/>
      <c r="FT21" s="50"/>
      <c r="FU21" s="50"/>
      <c r="FV21" s="470"/>
      <c r="FW21" s="50"/>
      <c r="FX21" s="50"/>
      <c r="FY21" s="50"/>
      <c r="FZ21" s="50"/>
      <c r="GA21" s="470"/>
      <c r="GB21" s="50"/>
      <c r="GC21" s="50"/>
      <c r="GD21" s="50"/>
      <c r="GE21" s="50"/>
      <c r="GF21" s="470"/>
      <c r="GG21" s="50"/>
      <c r="GH21" s="50"/>
      <c r="GI21" s="50"/>
      <c r="GJ21" s="50"/>
      <c r="GK21" s="470"/>
      <c r="GL21" s="50"/>
      <c r="GM21" s="50"/>
      <c r="GN21" s="50"/>
      <c r="GO21" s="50"/>
      <c r="GP21" s="470"/>
      <c r="GQ21" s="50"/>
      <c r="GR21" s="50"/>
      <c r="GS21" s="50"/>
      <c r="GT21" s="50"/>
      <c r="GU21" s="470"/>
      <c r="GZ21" s="21"/>
      <c r="HA21" s="37"/>
      <c r="HI21" s="463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50510.637500000135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0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0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0"/>
      <c r="S22" s="458">
        <v>92.350000000000136</v>
      </c>
      <c r="T22" s="50">
        <v>121.5</v>
      </c>
      <c r="U22" s="508">
        <v>156.11250000000024</v>
      </c>
      <c r="V22" s="50">
        <f>'Punten per wedstrijd'!F21</f>
        <v>330.00000000000023</v>
      </c>
      <c r="W22" s="470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0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70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0"/>
      <c r="AM22" s="458">
        <v>70.850000000000023</v>
      </c>
      <c r="AN22" s="458">
        <v>204.45000000000073</v>
      </c>
      <c r="AO22" s="458">
        <v>375.22499999999945</v>
      </c>
      <c r="AP22" s="50">
        <v>608.30000000000018</v>
      </c>
      <c r="AQ22" s="470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70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70"/>
      <c r="BB22" s="50">
        <v>0</v>
      </c>
      <c r="BC22" s="50">
        <v>95.350000000000364</v>
      </c>
      <c r="BD22" s="50">
        <v>177.75</v>
      </c>
      <c r="BE22" s="50">
        <v>589.9</v>
      </c>
      <c r="BF22" s="470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70"/>
      <c r="BL22" s="50">
        <v>0</v>
      </c>
      <c r="BM22" s="50">
        <v>88.250000000000909</v>
      </c>
      <c r="BN22" s="50">
        <v>264</v>
      </c>
      <c r="BO22" s="518">
        <v>307</v>
      </c>
      <c r="BP22" s="470"/>
      <c r="BQ22" s="50">
        <v>99.300000000001091</v>
      </c>
      <c r="BR22" s="50">
        <v>131.85000000000082</v>
      </c>
      <c r="BS22" s="50">
        <v>307.72499999999945</v>
      </c>
      <c r="BT22" s="518">
        <v>615.49999999999909</v>
      </c>
      <c r="BU22" s="470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0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0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0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0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0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0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0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0"/>
      <c r="DJ22" s="50">
        <v>43.574999999999363</v>
      </c>
      <c r="DK22" s="50">
        <v>0</v>
      </c>
      <c r="DL22" s="50">
        <v>0</v>
      </c>
      <c r="DM22" s="50">
        <v>0</v>
      </c>
      <c r="DN22" s="470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0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0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0"/>
      <c r="ED22" s="50">
        <v>78.750000000000909</v>
      </c>
      <c r="EE22" s="50">
        <v>0</v>
      </c>
      <c r="EF22" s="50">
        <v>0</v>
      </c>
      <c r="EG22" s="50">
        <v>0</v>
      </c>
      <c r="EH22" s="470"/>
      <c r="EI22" s="50">
        <v>44</v>
      </c>
      <c r="EJ22" s="50">
        <v>0</v>
      </c>
      <c r="EK22" s="50">
        <v>102</v>
      </c>
      <c r="EL22" s="50">
        <v>298.00000000000728</v>
      </c>
      <c r="EM22" s="470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0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0"/>
      <c r="EX22" s="50">
        <v>190.25000000000091</v>
      </c>
      <c r="EY22" s="50">
        <v>0</v>
      </c>
      <c r="EZ22" s="50">
        <v>0</v>
      </c>
      <c r="FA22" s="50">
        <v>365.1000000000131</v>
      </c>
      <c r="FB22" s="470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0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0"/>
      <c r="FM22" s="50">
        <v>74.624999999999091</v>
      </c>
      <c r="FN22" s="50">
        <v>0</v>
      </c>
      <c r="FO22" s="50">
        <v>0</v>
      </c>
      <c r="FP22" s="50">
        <v>341.80000000001382</v>
      </c>
      <c r="FQ22" s="470"/>
      <c r="FR22" s="50">
        <v>24.275000000000546</v>
      </c>
      <c r="FS22" s="50">
        <v>0</v>
      </c>
      <c r="FT22" s="50">
        <v>0</v>
      </c>
      <c r="FU22" s="50">
        <v>452.50000000001455</v>
      </c>
      <c r="FV22" s="470"/>
      <c r="FW22" s="50">
        <v>50.599999999999682</v>
      </c>
      <c r="FX22" s="50">
        <v>0</v>
      </c>
      <c r="FY22" s="50">
        <v>0</v>
      </c>
      <c r="FZ22" s="50">
        <v>0</v>
      </c>
      <c r="GA22" s="470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0"/>
      <c r="GG22" s="50">
        <v>60.275000000002365</v>
      </c>
      <c r="GH22" s="50">
        <v>0</v>
      </c>
      <c r="GI22" s="50">
        <v>0</v>
      </c>
      <c r="GJ22" s="50">
        <v>0</v>
      </c>
      <c r="GK22" s="470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0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0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2028</v>
      </c>
      <c r="B23" s="46">
        <f t="shared" si="0"/>
        <v>20146.874999999978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0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0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0"/>
      <c r="S23" s="458">
        <v>0</v>
      </c>
      <c r="T23" s="50">
        <v>0</v>
      </c>
      <c r="U23" s="508">
        <v>152.84999999999997</v>
      </c>
      <c r="V23" s="50">
        <f>'Punten per wedstrijd'!F22</f>
        <v>234.99999999999977</v>
      </c>
      <c r="W23" s="470"/>
      <c r="X23" s="50">
        <v>0</v>
      </c>
      <c r="Y23" s="50">
        <v>0</v>
      </c>
      <c r="Z23" s="50">
        <v>134.0999999999998</v>
      </c>
      <c r="AA23" s="50">
        <v>202.5</v>
      </c>
      <c r="AB23" s="470"/>
      <c r="AC23" s="50">
        <v>0</v>
      </c>
      <c r="AD23" s="50">
        <v>0</v>
      </c>
      <c r="AE23" s="50">
        <v>579.30000000000018</v>
      </c>
      <c r="AF23" s="50">
        <v>969.89999999999918</v>
      </c>
      <c r="AG23" s="470"/>
      <c r="AH23" s="50">
        <v>0</v>
      </c>
      <c r="AI23" s="50">
        <v>0</v>
      </c>
      <c r="AJ23" s="50">
        <v>336.45000000000027</v>
      </c>
      <c r="AK23" s="50">
        <v>220.09999999999945</v>
      </c>
      <c r="AL23" s="470"/>
      <c r="AM23" s="458">
        <v>0</v>
      </c>
      <c r="AN23" s="458">
        <v>0</v>
      </c>
      <c r="AO23" s="458">
        <v>288.97500000000014</v>
      </c>
      <c r="AP23" s="50">
        <v>582.89999999999873</v>
      </c>
      <c r="AQ23" s="470"/>
      <c r="AR23" s="50">
        <v>0</v>
      </c>
      <c r="AS23" s="50">
        <v>0</v>
      </c>
      <c r="AT23" s="50">
        <v>181.95000000000027</v>
      </c>
      <c r="AU23" s="50">
        <v>31.200000000000003</v>
      </c>
      <c r="AV23" s="470"/>
      <c r="AW23" s="50">
        <v>0</v>
      </c>
      <c r="AX23" s="50">
        <v>0</v>
      </c>
      <c r="AY23" s="50">
        <v>350.24999999999795</v>
      </c>
      <c r="AZ23" s="50">
        <v>100.39999999999782</v>
      </c>
      <c r="BA23" s="470"/>
      <c r="BB23" s="50">
        <v>0</v>
      </c>
      <c r="BC23" s="50">
        <v>0</v>
      </c>
      <c r="BD23" s="50">
        <v>111.22500000000014</v>
      </c>
      <c r="BE23" s="50">
        <v>588.9</v>
      </c>
      <c r="BF23" s="470"/>
      <c r="BG23" s="50">
        <v>0</v>
      </c>
      <c r="BH23" s="50">
        <v>0</v>
      </c>
      <c r="BI23" s="50">
        <v>171.82499999999959</v>
      </c>
      <c r="BJ23" s="50">
        <v>272.2</v>
      </c>
      <c r="BK23" s="470"/>
      <c r="BL23" s="50">
        <v>0</v>
      </c>
      <c r="BM23" s="50">
        <v>0</v>
      </c>
      <c r="BN23" s="50">
        <v>187.87499999999864</v>
      </c>
      <c r="BO23" s="518">
        <v>206</v>
      </c>
      <c r="BP23" s="470"/>
      <c r="BQ23" s="50">
        <v>0</v>
      </c>
      <c r="BR23" s="50">
        <v>0</v>
      </c>
      <c r="BS23" s="50">
        <v>311.02499999999714</v>
      </c>
      <c r="BT23" s="518">
        <v>613.79999999999836</v>
      </c>
      <c r="BU23" s="470"/>
      <c r="BV23" s="50">
        <v>0</v>
      </c>
      <c r="BW23" s="50">
        <v>0</v>
      </c>
      <c r="BX23" s="50">
        <v>0</v>
      </c>
      <c r="BY23" s="50">
        <v>555.69999999999618</v>
      </c>
      <c r="BZ23" s="470"/>
      <c r="CA23" s="50">
        <v>0</v>
      </c>
      <c r="CB23" s="50">
        <v>0</v>
      </c>
      <c r="CC23" s="50">
        <v>0</v>
      </c>
      <c r="CD23" s="50">
        <v>345.49999999999545</v>
      </c>
      <c r="CE23" s="470"/>
      <c r="CF23" s="50">
        <v>0</v>
      </c>
      <c r="CG23" s="50">
        <v>0</v>
      </c>
      <c r="CH23" s="50">
        <v>0</v>
      </c>
      <c r="CI23" s="50">
        <v>134.19999999999618</v>
      </c>
      <c r="CJ23" s="470"/>
      <c r="CK23" s="50">
        <v>0</v>
      </c>
      <c r="CL23" s="50">
        <v>0</v>
      </c>
      <c r="CM23" s="50">
        <v>0</v>
      </c>
      <c r="CN23" s="50">
        <v>149.99999999999454</v>
      </c>
      <c r="CO23" s="470"/>
      <c r="CP23" s="50">
        <v>0</v>
      </c>
      <c r="CQ23" s="50">
        <v>0</v>
      </c>
      <c r="CR23" s="50">
        <v>0</v>
      </c>
      <c r="CS23" s="50">
        <v>263.39999999999509</v>
      </c>
      <c r="CT23" s="470"/>
      <c r="CU23" s="50">
        <v>0</v>
      </c>
      <c r="CV23" s="50">
        <v>0</v>
      </c>
      <c r="CW23" s="50">
        <v>0</v>
      </c>
      <c r="CX23" s="50">
        <v>297.49999999999636</v>
      </c>
      <c r="CY23" s="470"/>
      <c r="CZ23" s="50">
        <v>0</v>
      </c>
      <c r="DA23" s="50">
        <v>0</v>
      </c>
      <c r="DB23" s="50">
        <v>0</v>
      </c>
      <c r="DC23" s="50">
        <v>316.99999999999636</v>
      </c>
      <c r="DD23" s="470"/>
      <c r="DE23" s="50">
        <v>0</v>
      </c>
      <c r="DF23" s="50">
        <v>0</v>
      </c>
      <c r="DG23" s="50">
        <v>0</v>
      </c>
      <c r="DH23" s="50">
        <v>1455.8999999999987</v>
      </c>
      <c r="DI23" s="470"/>
      <c r="DJ23" s="50">
        <v>0</v>
      </c>
      <c r="DK23" s="50">
        <v>0</v>
      </c>
      <c r="DL23" s="50">
        <v>0</v>
      </c>
      <c r="DM23" s="50">
        <v>0</v>
      </c>
      <c r="DN23" s="470"/>
      <c r="DO23" s="50">
        <v>0</v>
      </c>
      <c r="DP23" s="50">
        <v>0</v>
      </c>
      <c r="DQ23" s="50">
        <v>0</v>
      </c>
      <c r="DR23" s="50">
        <v>749.70000000000073</v>
      </c>
      <c r="DS23" s="470"/>
      <c r="DT23" s="50">
        <v>0</v>
      </c>
      <c r="DU23" s="50">
        <v>0</v>
      </c>
      <c r="DV23" s="50">
        <v>0</v>
      </c>
      <c r="DW23" s="50">
        <v>289.30000000000291</v>
      </c>
      <c r="DX23" s="470"/>
      <c r="DY23" s="50">
        <v>0</v>
      </c>
      <c r="DZ23" s="50">
        <v>0</v>
      </c>
      <c r="EA23" s="50">
        <v>0</v>
      </c>
      <c r="EB23" s="50">
        <v>1607.9000000000251</v>
      </c>
      <c r="EC23" s="470"/>
      <c r="ED23" s="50">
        <v>0</v>
      </c>
      <c r="EE23" s="50">
        <v>0</v>
      </c>
      <c r="EF23" s="50">
        <v>0</v>
      </c>
      <c r="EG23" s="50">
        <v>0</v>
      </c>
      <c r="EH23" s="470"/>
      <c r="EI23" s="50">
        <v>0</v>
      </c>
      <c r="EJ23" s="50">
        <v>0</v>
      </c>
      <c r="EK23" s="50">
        <v>0</v>
      </c>
      <c r="EL23" s="50">
        <v>289.60000000000218</v>
      </c>
      <c r="EM23" s="470"/>
      <c r="EN23" s="50">
        <v>0</v>
      </c>
      <c r="EO23" s="50">
        <v>0</v>
      </c>
      <c r="EP23" s="50">
        <v>0</v>
      </c>
      <c r="EQ23" s="50">
        <v>381.50000000000364</v>
      </c>
      <c r="ER23" s="470"/>
      <c r="ES23" s="50">
        <v>0</v>
      </c>
      <c r="ET23" s="50">
        <v>0</v>
      </c>
      <c r="EU23" s="50">
        <v>0</v>
      </c>
      <c r="EV23" s="50">
        <v>0</v>
      </c>
      <c r="EW23" s="470"/>
      <c r="EX23" s="50">
        <v>0</v>
      </c>
      <c r="EY23" s="50">
        <v>0</v>
      </c>
      <c r="EZ23" s="50">
        <v>0</v>
      </c>
      <c r="FA23" s="50">
        <v>100.69999999999709</v>
      </c>
      <c r="FB23" s="470"/>
      <c r="FC23" s="50">
        <v>0</v>
      </c>
      <c r="FD23" s="50">
        <v>0</v>
      </c>
      <c r="FE23" s="50">
        <v>0</v>
      </c>
      <c r="FF23" s="50">
        <v>3548.3</v>
      </c>
      <c r="FG23" s="470"/>
      <c r="FH23" s="50">
        <v>0</v>
      </c>
      <c r="FI23" s="50">
        <v>0</v>
      </c>
      <c r="FJ23" s="50">
        <v>0</v>
      </c>
      <c r="FK23" s="50">
        <v>33</v>
      </c>
      <c r="FL23" s="470"/>
      <c r="FM23" s="50">
        <v>0</v>
      </c>
      <c r="FN23" s="50">
        <v>0</v>
      </c>
      <c r="FO23" s="50">
        <v>0</v>
      </c>
      <c r="FP23" s="50">
        <v>33.600000000000364</v>
      </c>
      <c r="FQ23" s="470"/>
      <c r="FR23" s="50">
        <v>0</v>
      </c>
      <c r="FS23" s="50">
        <v>0</v>
      </c>
      <c r="FT23" s="50">
        <v>0</v>
      </c>
      <c r="FU23" s="50">
        <v>118.79999999999745</v>
      </c>
      <c r="FV23" s="470"/>
      <c r="FW23" s="50">
        <v>0</v>
      </c>
      <c r="FX23" s="50">
        <v>0</v>
      </c>
      <c r="FY23" s="50">
        <v>0</v>
      </c>
      <c r="FZ23" s="50">
        <v>0</v>
      </c>
      <c r="GA23" s="470"/>
      <c r="GB23" s="50">
        <v>0</v>
      </c>
      <c r="GC23" s="50">
        <v>0</v>
      </c>
      <c r="GD23" s="50">
        <v>0</v>
      </c>
      <c r="GE23" s="50">
        <v>223.49999999999454</v>
      </c>
      <c r="GF23" s="470"/>
      <c r="GG23" s="50">
        <v>0</v>
      </c>
      <c r="GH23" s="50">
        <v>0</v>
      </c>
      <c r="GI23" s="50">
        <v>0</v>
      </c>
      <c r="GJ23" s="50">
        <v>0</v>
      </c>
      <c r="GK23" s="470"/>
      <c r="GL23" s="50">
        <v>0</v>
      </c>
      <c r="GM23" s="50">
        <v>0</v>
      </c>
      <c r="GN23" s="50">
        <v>0</v>
      </c>
      <c r="GO23" s="50">
        <v>765.79999999999927</v>
      </c>
      <c r="GP23" s="470"/>
      <c r="GQ23" s="50">
        <v>0</v>
      </c>
      <c r="GR23" s="50">
        <v>0</v>
      </c>
      <c r="GS23" s="50">
        <v>0</v>
      </c>
      <c r="GT23" s="50">
        <v>292.50000000000364</v>
      </c>
      <c r="GU23" s="470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3379</v>
      </c>
      <c r="B24" s="46">
        <f t="shared" si="0"/>
        <v>6021.1999999999989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0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0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0"/>
      <c r="S24" s="458">
        <v>0</v>
      </c>
      <c r="T24" s="50">
        <v>0</v>
      </c>
      <c r="U24" s="508">
        <v>0</v>
      </c>
      <c r="V24" s="50">
        <f>'Punten per wedstrijd'!F23</f>
        <v>285.49999999999977</v>
      </c>
      <c r="W24" s="470"/>
      <c r="X24" s="50">
        <v>0</v>
      </c>
      <c r="Y24" s="50">
        <v>0</v>
      </c>
      <c r="Z24" s="50">
        <v>0</v>
      </c>
      <c r="AA24" s="50">
        <v>317.39999999999964</v>
      </c>
      <c r="AB24" s="470"/>
      <c r="AC24" s="50">
        <v>0</v>
      </c>
      <c r="AD24" s="50">
        <v>0</v>
      </c>
      <c r="AE24" s="50">
        <v>0</v>
      </c>
      <c r="AF24" s="50">
        <v>567.49999999999909</v>
      </c>
      <c r="AG24" s="470"/>
      <c r="AH24" s="50">
        <v>0</v>
      </c>
      <c r="AI24" s="50">
        <v>0</v>
      </c>
      <c r="AJ24" s="50">
        <v>0</v>
      </c>
      <c r="AK24" s="50">
        <v>488.19999999999982</v>
      </c>
      <c r="AL24" s="470"/>
      <c r="AM24" s="458">
        <v>0</v>
      </c>
      <c r="AN24" s="458">
        <v>0</v>
      </c>
      <c r="AO24" s="458">
        <v>0</v>
      </c>
      <c r="AP24" s="50">
        <v>579.00000000000091</v>
      </c>
      <c r="AQ24" s="470"/>
      <c r="AR24" s="50">
        <v>0</v>
      </c>
      <c r="AS24" s="50">
        <v>0</v>
      </c>
      <c r="AT24" s="50">
        <v>0</v>
      </c>
      <c r="AU24" s="50">
        <v>120.5</v>
      </c>
      <c r="AV24" s="470"/>
      <c r="AW24" s="50">
        <v>0</v>
      </c>
      <c r="AX24" s="50">
        <v>0</v>
      </c>
      <c r="AY24" s="50">
        <v>0</v>
      </c>
      <c r="AZ24" s="50">
        <v>982.70000000000073</v>
      </c>
      <c r="BA24" s="470"/>
      <c r="BB24" s="50">
        <v>0</v>
      </c>
      <c r="BC24" s="50">
        <v>0</v>
      </c>
      <c r="BD24" s="50">
        <v>0</v>
      </c>
      <c r="BE24" s="50">
        <v>546.1</v>
      </c>
      <c r="BF24" s="470"/>
      <c r="BG24" s="50">
        <v>0</v>
      </c>
      <c r="BH24" s="50">
        <v>0</v>
      </c>
      <c r="BI24" s="50">
        <v>0</v>
      </c>
      <c r="BJ24" s="50">
        <v>170.5</v>
      </c>
      <c r="BK24" s="470"/>
      <c r="BL24" s="50">
        <v>0</v>
      </c>
      <c r="BM24" s="50">
        <v>0</v>
      </c>
      <c r="BN24" s="50">
        <v>0</v>
      </c>
      <c r="BO24" s="518">
        <v>81.8</v>
      </c>
      <c r="BP24" s="470"/>
      <c r="BQ24" s="50">
        <v>0</v>
      </c>
      <c r="BR24" s="50">
        <v>0</v>
      </c>
      <c r="BS24" s="50">
        <v>0</v>
      </c>
      <c r="BT24" s="518">
        <v>426.99999999999909</v>
      </c>
      <c r="BU24" s="470"/>
      <c r="BV24" s="50"/>
      <c r="BW24" s="50"/>
      <c r="BX24" s="50"/>
      <c r="BY24" s="50"/>
      <c r="BZ24" s="470"/>
      <c r="CA24" s="50"/>
      <c r="CB24" s="50"/>
      <c r="CC24" s="50"/>
      <c r="CD24" s="50"/>
      <c r="CE24" s="470"/>
      <c r="CF24" s="50"/>
      <c r="CG24" s="50"/>
      <c r="CH24" s="50"/>
      <c r="CI24" s="50"/>
      <c r="CJ24" s="470"/>
      <c r="CK24" s="50"/>
      <c r="CL24" s="50"/>
      <c r="CM24" s="50"/>
      <c r="CN24" s="50"/>
      <c r="CO24" s="470"/>
      <c r="CP24" s="50"/>
      <c r="CQ24" s="50"/>
      <c r="CR24" s="50"/>
      <c r="CS24" s="50"/>
      <c r="CT24" s="470"/>
      <c r="CU24" s="50"/>
      <c r="CV24" s="50"/>
      <c r="CW24" s="50"/>
      <c r="CX24" s="50"/>
      <c r="CY24" s="470"/>
      <c r="CZ24" s="50"/>
      <c r="DA24" s="50"/>
      <c r="DB24" s="50"/>
      <c r="DC24" s="50"/>
      <c r="DD24" s="470"/>
      <c r="DE24" s="50"/>
      <c r="DF24" s="50"/>
      <c r="DG24" s="50"/>
      <c r="DH24" s="50"/>
      <c r="DI24" s="470"/>
      <c r="DJ24" s="50"/>
      <c r="DK24" s="50"/>
      <c r="DL24" s="50"/>
      <c r="DM24" s="50"/>
      <c r="DN24" s="470"/>
      <c r="DO24" s="50"/>
      <c r="DP24" s="50"/>
      <c r="DQ24" s="50"/>
      <c r="DR24" s="50"/>
      <c r="DS24" s="470"/>
      <c r="DT24" s="50"/>
      <c r="DU24" s="50"/>
      <c r="DV24" s="50"/>
      <c r="DW24" s="50"/>
      <c r="DX24" s="470"/>
      <c r="DY24" s="50"/>
      <c r="DZ24" s="50"/>
      <c r="EA24" s="50"/>
      <c r="EB24" s="50"/>
      <c r="EC24" s="470"/>
      <c r="ED24" s="50"/>
      <c r="EE24" s="50"/>
      <c r="EF24" s="50"/>
      <c r="EG24" s="50"/>
      <c r="EH24" s="470"/>
      <c r="EI24" s="50"/>
      <c r="EJ24" s="50"/>
      <c r="EK24" s="50"/>
      <c r="EL24" s="50"/>
      <c r="EM24" s="470"/>
      <c r="EN24" s="50"/>
      <c r="EO24" s="50"/>
      <c r="EP24" s="50"/>
      <c r="EQ24" s="50"/>
      <c r="ER24" s="470"/>
      <c r="ES24" s="50"/>
      <c r="ET24" s="50"/>
      <c r="EU24" s="50"/>
      <c r="EV24" s="50"/>
      <c r="EW24" s="470"/>
      <c r="EX24" s="50"/>
      <c r="EY24" s="50"/>
      <c r="EZ24" s="50"/>
      <c r="FA24" s="50"/>
      <c r="FB24" s="470"/>
      <c r="FC24" s="50"/>
      <c r="FD24" s="50"/>
      <c r="FE24" s="50"/>
      <c r="FF24" s="50"/>
      <c r="FG24" s="470"/>
      <c r="FH24" s="50"/>
      <c r="FI24" s="50"/>
      <c r="FJ24" s="50"/>
      <c r="FK24" s="50"/>
      <c r="FL24" s="470"/>
      <c r="FM24" s="50"/>
      <c r="FN24" s="50"/>
      <c r="FO24" s="50"/>
      <c r="FP24" s="50"/>
      <c r="FQ24" s="470"/>
      <c r="FR24" s="50"/>
      <c r="FS24" s="50"/>
      <c r="FT24" s="50"/>
      <c r="FU24" s="50"/>
      <c r="FV24" s="470"/>
      <c r="FW24" s="50"/>
      <c r="FX24" s="50"/>
      <c r="FY24" s="50"/>
      <c r="FZ24" s="50"/>
      <c r="GA24" s="470"/>
      <c r="GB24" s="50"/>
      <c r="GC24" s="50"/>
      <c r="GD24" s="50"/>
      <c r="GE24" s="50"/>
      <c r="GF24" s="470"/>
      <c r="GG24" s="50"/>
      <c r="GH24" s="50"/>
      <c r="GI24" s="50"/>
      <c r="GJ24" s="50"/>
      <c r="GK24" s="470"/>
      <c r="GL24" s="50"/>
      <c r="GM24" s="50"/>
      <c r="GN24" s="50"/>
      <c r="GO24" s="50"/>
      <c r="GP24" s="470"/>
      <c r="GQ24" s="50"/>
      <c r="GR24" s="50"/>
      <c r="GS24" s="50"/>
      <c r="GT24" s="50"/>
      <c r="GU24" s="470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3393</v>
      </c>
      <c r="B25" s="46">
        <f t="shared" si="0"/>
        <v>7365.1000000000031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0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0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0"/>
      <c r="S25" s="458">
        <v>0</v>
      </c>
      <c r="T25" s="50">
        <v>0</v>
      </c>
      <c r="U25" s="508">
        <v>0</v>
      </c>
      <c r="V25" s="50">
        <f>'Punten per wedstrijd'!F24</f>
        <v>233.29999999999995</v>
      </c>
      <c r="W25" s="470"/>
      <c r="X25" s="50">
        <v>0</v>
      </c>
      <c r="Y25" s="50">
        <v>0</v>
      </c>
      <c r="Z25" s="50">
        <v>0</v>
      </c>
      <c r="AA25" s="50">
        <v>370.29999999999927</v>
      </c>
      <c r="AB25" s="470"/>
      <c r="AC25" s="50">
        <v>0</v>
      </c>
      <c r="AD25" s="50">
        <v>0</v>
      </c>
      <c r="AE25" s="50">
        <v>0</v>
      </c>
      <c r="AF25" s="50">
        <v>683.69999999999936</v>
      </c>
      <c r="AG25" s="470"/>
      <c r="AH25" s="50">
        <v>0</v>
      </c>
      <c r="AI25" s="50">
        <v>0</v>
      </c>
      <c r="AJ25" s="50">
        <v>0</v>
      </c>
      <c r="AK25" s="50">
        <v>865.59999999999991</v>
      </c>
      <c r="AL25" s="470"/>
      <c r="AM25" s="458">
        <v>0</v>
      </c>
      <c r="AN25" s="458">
        <v>0</v>
      </c>
      <c r="AO25" s="458">
        <v>0</v>
      </c>
      <c r="AP25" s="50">
        <v>639.40000000000055</v>
      </c>
      <c r="AQ25" s="470"/>
      <c r="AR25" s="50">
        <v>0</v>
      </c>
      <c r="AS25" s="50">
        <v>0</v>
      </c>
      <c r="AT25" s="50">
        <v>0</v>
      </c>
      <c r="AU25" s="50">
        <v>395.5</v>
      </c>
      <c r="AV25" s="470"/>
      <c r="AW25" s="50">
        <v>0</v>
      </c>
      <c r="AX25" s="50">
        <v>0</v>
      </c>
      <c r="AY25" s="50">
        <v>0</v>
      </c>
      <c r="AZ25" s="50">
        <v>942.40000000000055</v>
      </c>
      <c r="BA25" s="470"/>
      <c r="BB25" s="50">
        <v>0</v>
      </c>
      <c r="BC25" s="50">
        <v>0</v>
      </c>
      <c r="BD25" s="50">
        <v>0</v>
      </c>
      <c r="BE25" s="50">
        <v>532.20000000000005</v>
      </c>
      <c r="BF25" s="470"/>
      <c r="BG25" s="50">
        <v>0</v>
      </c>
      <c r="BH25" s="50">
        <v>0</v>
      </c>
      <c r="BI25" s="50">
        <v>0</v>
      </c>
      <c r="BJ25" s="50">
        <v>362.7</v>
      </c>
      <c r="BK25" s="470"/>
      <c r="BL25" s="50">
        <v>0</v>
      </c>
      <c r="BM25" s="50">
        <v>0</v>
      </c>
      <c r="BN25" s="50">
        <v>0</v>
      </c>
      <c r="BO25" s="518">
        <v>336.1</v>
      </c>
      <c r="BP25" s="470"/>
      <c r="BQ25" s="50">
        <v>0</v>
      </c>
      <c r="BR25" s="50">
        <v>0</v>
      </c>
      <c r="BS25" s="50">
        <v>0</v>
      </c>
      <c r="BT25" s="518">
        <v>484.600000000004</v>
      </c>
      <c r="BU25" s="470"/>
      <c r="BV25" s="50"/>
      <c r="BW25" s="50"/>
      <c r="BX25" s="50"/>
      <c r="BY25" s="50"/>
      <c r="BZ25" s="470"/>
      <c r="CA25" s="50"/>
      <c r="CB25" s="50"/>
      <c r="CC25" s="50"/>
      <c r="CD25" s="50"/>
      <c r="CE25" s="470"/>
      <c r="CF25" s="50"/>
      <c r="CG25" s="50"/>
      <c r="CH25" s="50"/>
      <c r="CI25" s="50"/>
      <c r="CJ25" s="470"/>
      <c r="CK25" s="50"/>
      <c r="CL25" s="50"/>
      <c r="CM25" s="50"/>
      <c r="CN25" s="50"/>
      <c r="CO25" s="470"/>
      <c r="CP25" s="50"/>
      <c r="CQ25" s="50"/>
      <c r="CR25" s="50"/>
      <c r="CS25" s="50"/>
      <c r="CT25" s="470"/>
      <c r="CU25" s="50"/>
      <c r="CV25" s="50"/>
      <c r="CW25" s="50"/>
      <c r="CX25" s="50"/>
      <c r="CY25" s="470"/>
      <c r="CZ25" s="50"/>
      <c r="DA25" s="50"/>
      <c r="DB25" s="50"/>
      <c r="DC25" s="50"/>
      <c r="DD25" s="470"/>
      <c r="DE25" s="50"/>
      <c r="DF25" s="50"/>
      <c r="DG25" s="50"/>
      <c r="DH25" s="50"/>
      <c r="DI25" s="470"/>
      <c r="DJ25" s="50"/>
      <c r="DK25" s="50"/>
      <c r="DL25" s="50"/>
      <c r="DM25" s="50"/>
      <c r="DN25" s="470"/>
      <c r="DO25" s="50"/>
      <c r="DP25" s="50"/>
      <c r="DQ25" s="50"/>
      <c r="DR25" s="50"/>
      <c r="DS25" s="470"/>
      <c r="DT25" s="50"/>
      <c r="DU25" s="50"/>
      <c r="DV25" s="50"/>
      <c r="DW25" s="50"/>
      <c r="DX25" s="470"/>
      <c r="DY25" s="50"/>
      <c r="DZ25" s="50"/>
      <c r="EA25" s="50"/>
      <c r="EB25" s="50"/>
      <c r="EC25" s="470"/>
      <c r="ED25" s="50"/>
      <c r="EE25" s="50"/>
      <c r="EF25" s="50"/>
      <c r="EG25" s="50"/>
      <c r="EH25" s="470"/>
      <c r="EI25" s="50"/>
      <c r="EJ25" s="50"/>
      <c r="EK25" s="50"/>
      <c r="EL25" s="50"/>
      <c r="EM25" s="470"/>
      <c r="EN25" s="50"/>
      <c r="EO25" s="50"/>
      <c r="EP25" s="50"/>
      <c r="EQ25" s="50"/>
      <c r="ER25" s="470"/>
      <c r="ES25" s="50"/>
      <c r="ET25" s="50"/>
      <c r="EU25" s="50"/>
      <c r="EV25" s="50"/>
      <c r="EW25" s="470"/>
      <c r="EX25" s="50"/>
      <c r="EY25" s="50"/>
      <c r="EZ25" s="50"/>
      <c r="FA25" s="50"/>
      <c r="FB25" s="470"/>
      <c r="FC25" s="50"/>
      <c r="FD25" s="50"/>
      <c r="FE25" s="50"/>
      <c r="FF25" s="50"/>
      <c r="FG25" s="470"/>
      <c r="FH25" s="50"/>
      <c r="FI25" s="50"/>
      <c r="FJ25" s="50"/>
      <c r="FK25" s="50"/>
      <c r="FL25" s="470"/>
      <c r="FM25" s="50"/>
      <c r="FN25" s="50"/>
      <c r="FO25" s="50"/>
      <c r="FP25" s="50"/>
      <c r="FQ25" s="470"/>
      <c r="FR25" s="50"/>
      <c r="FS25" s="50"/>
      <c r="FT25" s="50"/>
      <c r="FU25" s="50"/>
      <c r="FV25" s="470"/>
      <c r="FW25" s="50"/>
      <c r="FX25" s="50"/>
      <c r="FY25" s="50"/>
      <c r="FZ25" s="50"/>
      <c r="GA25" s="470"/>
      <c r="GB25" s="50"/>
      <c r="GC25" s="50"/>
      <c r="GD25" s="50"/>
      <c r="GE25" s="50"/>
      <c r="GF25" s="470"/>
      <c r="GG25" s="50"/>
      <c r="GH25" s="50"/>
      <c r="GI25" s="50"/>
      <c r="GJ25" s="50"/>
      <c r="GK25" s="470"/>
      <c r="GL25" s="50"/>
      <c r="GM25" s="50"/>
      <c r="GN25" s="50"/>
      <c r="GO25" s="50"/>
      <c r="GP25" s="470"/>
      <c r="GQ25" s="50"/>
      <c r="GR25" s="50"/>
      <c r="GS25" s="50"/>
      <c r="GT25" s="50"/>
      <c r="GU25" s="470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50177.075000000048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0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0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0"/>
      <c r="S26" s="458">
        <v>27.624999999999943</v>
      </c>
      <c r="T26" s="50">
        <v>83</v>
      </c>
      <c r="U26" s="508">
        <v>142.05000000000058</v>
      </c>
      <c r="V26" s="50">
        <f>'Punten per wedstrijd'!F25</f>
        <v>221.70000000000027</v>
      </c>
      <c r="W26" s="470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0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70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0"/>
      <c r="AM26" s="458">
        <v>55.624999999999886</v>
      </c>
      <c r="AN26" s="458">
        <v>127.59999999999991</v>
      </c>
      <c r="AO26" s="458">
        <v>247.94999999999925</v>
      </c>
      <c r="AP26" s="50">
        <v>742.69999999999891</v>
      </c>
      <c r="AQ26" s="470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70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70"/>
      <c r="BB26" s="50">
        <v>0</v>
      </c>
      <c r="BC26" s="50">
        <v>91.600000000000136</v>
      </c>
      <c r="BD26" s="50">
        <v>204.30000000000041</v>
      </c>
      <c r="BE26" s="50">
        <v>519</v>
      </c>
      <c r="BF26" s="470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70"/>
      <c r="BL26" s="50">
        <v>0</v>
      </c>
      <c r="BM26" s="50">
        <v>2.7999999999997272</v>
      </c>
      <c r="BN26" s="50">
        <v>151.87499999999932</v>
      </c>
      <c r="BO26" s="518">
        <v>102.60000000000001</v>
      </c>
      <c r="BP26" s="470"/>
      <c r="BQ26" s="50">
        <v>53.125000000000455</v>
      </c>
      <c r="BR26" s="50">
        <v>158.94999999999982</v>
      </c>
      <c r="BS26" s="50">
        <v>117.14999999999918</v>
      </c>
      <c r="BT26" s="518">
        <v>407.5</v>
      </c>
      <c r="BU26" s="470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0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0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0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0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0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0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0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0"/>
      <c r="DJ26" s="50">
        <v>55.975000000000591</v>
      </c>
      <c r="DK26" s="50">
        <v>0</v>
      </c>
      <c r="DL26" s="50">
        <v>0</v>
      </c>
      <c r="DM26" s="50">
        <v>0</v>
      </c>
      <c r="DN26" s="470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0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0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0"/>
      <c r="ED26" s="50">
        <v>14.625</v>
      </c>
      <c r="EE26" s="50">
        <v>0</v>
      </c>
      <c r="EF26" s="50">
        <v>0</v>
      </c>
      <c r="EG26" s="50">
        <v>0</v>
      </c>
      <c r="EH26" s="470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0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0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0"/>
      <c r="EX26" s="50">
        <v>34.874999999999091</v>
      </c>
      <c r="EY26" s="50">
        <v>0</v>
      </c>
      <c r="EZ26" s="50">
        <v>0</v>
      </c>
      <c r="FA26" s="50">
        <v>190.49999999999636</v>
      </c>
      <c r="FB26" s="470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0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0"/>
      <c r="FM26" s="50">
        <v>45.399999999998727</v>
      </c>
      <c r="FN26" s="50">
        <v>0</v>
      </c>
      <c r="FO26" s="50">
        <v>0</v>
      </c>
      <c r="FP26" s="50">
        <v>183.69999999999709</v>
      </c>
      <c r="FQ26" s="470"/>
      <c r="FR26" s="50">
        <v>34.725000000000364</v>
      </c>
      <c r="FS26" s="50">
        <v>0</v>
      </c>
      <c r="FT26" s="50">
        <v>0</v>
      </c>
      <c r="FU26" s="50">
        <v>478.60000000000946</v>
      </c>
      <c r="FV26" s="470"/>
      <c r="FW26" s="50">
        <v>18.475000000000591</v>
      </c>
      <c r="FX26" s="50">
        <v>0</v>
      </c>
      <c r="FY26" s="50">
        <v>0</v>
      </c>
      <c r="FZ26" s="50">
        <v>0</v>
      </c>
      <c r="GA26" s="470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0"/>
      <c r="GG26" s="50">
        <v>152.64999999999964</v>
      </c>
      <c r="GH26" s="50">
        <v>0</v>
      </c>
      <c r="GI26" s="50">
        <v>0</v>
      </c>
      <c r="GJ26" s="50">
        <v>0</v>
      </c>
      <c r="GK26" s="470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0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0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2022</v>
      </c>
      <c r="B27" s="46">
        <f t="shared" si="0"/>
        <v>43278.887499999932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0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0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0"/>
      <c r="S27" s="458">
        <v>0</v>
      </c>
      <c r="T27" s="50">
        <v>30.250000000000114</v>
      </c>
      <c r="U27" s="508">
        <v>138.37499999999966</v>
      </c>
      <c r="V27" s="50">
        <f>'Punten per wedstrijd'!F26</f>
        <v>285.99999999999977</v>
      </c>
      <c r="W27" s="470"/>
      <c r="X27" s="50">
        <v>0</v>
      </c>
      <c r="Y27" s="50">
        <v>371.95000000000005</v>
      </c>
      <c r="Z27" s="50">
        <v>358.20000000000027</v>
      </c>
      <c r="AA27" s="50">
        <v>360</v>
      </c>
      <c r="AB27" s="470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70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0"/>
      <c r="AM27" s="458">
        <v>0</v>
      </c>
      <c r="AN27" s="458">
        <v>269.25</v>
      </c>
      <c r="AO27" s="458">
        <v>181.80000000000109</v>
      </c>
      <c r="AP27" s="50">
        <v>557.60000000000036</v>
      </c>
      <c r="AQ27" s="470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70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70"/>
      <c r="BB27" s="50">
        <v>0</v>
      </c>
      <c r="BC27" s="50">
        <v>92.25</v>
      </c>
      <c r="BD27" s="50">
        <v>219.375</v>
      </c>
      <c r="BE27" s="50">
        <v>560.20000000000005</v>
      </c>
      <c r="BF27" s="470"/>
      <c r="BG27" s="50">
        <v>0</v>
      </c>
      <c r="BH27" s="50">
        <v>78</v>
      </c>
      <c r="BI27" s="50">
        <v>96.974999999999454</v>
      </c>
      <c r="BJ27" s="50">
        <v>273.3</v>
      </c>
      <c r="BK27" s="470"/>
      <c r="BL27" s="50">
        <v>0</v>
      </c>
      <c r="BM27" s="50">
        <v>19.299999999999727</v>
      </c>
      <c r="BN27" s="50">
        <v>147.67499999999973</v>
      </c>
      <c r="BO27" s="518">
        <v>313.59999999999997</v>
      </c>
      <c r="BP27" s="470"/>
      <c r="BQ27" s="50">
        <v>0</v>
      </c>
      <c r="BR27" s="50">
        <v>122.44999999999982</v>
      </c>
      <c r="BS27" s="50">
        <v>110.69999999999959</v>
      </c>
      <c r="BT27" s="518">
        <v>720.20000000000073</v>
      </c>
      <c r="BU27" s="470"/>
      <c r="BV27" s="50">
        <v>0</v>
      </c>
      <c r="BW27" s="50">
        <v>0</v>
      </c>
      <c r="BX27" s="50">
        <v>624.52500000000055</v>
      </c>
      <c r="BY27" s="50">
        <v>707.5</v>
      </c>
      <c r="BZ27" s="470"/>
      <c r="CA27" s="50">
        <v>0</v>
      </c>
      <c r="CB27" s="50">
        <v>0</v>
      </c>
      <c r="CC27" s="50">
        <v>226.87499999999454</v>
      </c>
      <c r="CD27" s="50">
        <v>174.89999999999964</v>
      </c>
      <c r="CE27" s="470"/>
      <c r="CF27" s="50">
        <v>0</v>
      </c>
      <c r="CG27" s="50">
        <v>0</v>
      </c>
      <c r="CH27" s="50">
        <v>312.00000000000068</v>
      </c>
      <c r="CI27" s="50">
        <v>110.99999999999909</v>
      </c>
      <c r="CJ27" s="470"/>
      <c r="CK27" s="50">
        <v>0</v>
      </c>
      <c r="CL27" s="50">
        <v>0</v>
      </c>
      <c r="CM27" s="50">
        <v>393.07500000000027</v>
      </c>
      <c r="CN27" s="50">
        <v>224.89999999999964</v>
      </c>
      <c r="CO27" s="470"/>
      <c r="CP27" s="50">
        <v>0</v>
      </c>
      <c r="CQ27" s="50">
        <v>0</v>
      </c>
      <c r="CR27" s="50">
        <v>352.125</v>
      </c>
      <c r="CS27" s="50">
        <v>327.30000000000109</v>
      </c>
      <c r="CT27" s="470"/>
      <c r="CU27" s="50">
        <v>0</v>
      </c>
      <c r="CV27" s="50">
        <v>0</v>
      </c>
      <c r="CW27" s="50">
        <v>301.46249999999986</v>
      </c>
      <c r="CX27" s="50">
        <v>438.90000000000509</v>
      </c>
      <c r="CY27" s="470"/>
      <c r="CZ27" s="50">
        <v>0</v>
      </c>
      <c r="DA27" s="50">
        <v>0</v>
      </c>
      <c r="DB27" s="50">
        <v>4.1999999999934516</v>
      </c>
      <c r="DC27" s="50">
        <v>42.000000000005457</v>
      </c>
      <c r="DD27" s="470"/>
      <c r="DE27" s="50">
        <v>0</v>
      </c>
      <c r="DF27" s="50">
        <v>0</v>
      </c>
      <c r="DG27" s="50">
        <v>2629.6499999999992</v>
      </c>
      <c r="DH27" s="50">
        <v>2941.6999999999989</v>
      </c>
      <c r="DI27" s="470"/>
      <c r="DJ27" s="50">
        <v>0</v>
      </c>
      <c r="DK27" s="50">
        <v>0</v>
      </c>
      <c r="DL27" s="50">
        <v>0</v>
      </c>
      <c r="DM27" s="50">
        <v>0</v>
      </c>
      <c r="DN27" s="470"/>
      <c r="DO27" s="50">
        <v>0</v>
      </c>
      <c r="DP27" s="50">
        <v>0</v>
      </c>
      <c r="DQ27" s="50">
        <v>143.17499999999973</v>
      </c>
      <c r="DR27" s="50">
        <v>628.30000000000109</v>
      </c>
      <c r="DS27" s="470"/>
      <c r="DT27" s="50">
        <v>0</v>
      </c>
      <c r="DU27" s="50">
        <v>0</v>
      </c>
      <c r="DV27" s="50">
        <v>345.90000000000055</v>
      </c>
      <c r="DW27" s="50">
        <v>374.30000000000291</v>
      </c>
      <c r="DX27" s="470"/>
      <c r="DY27" s="50">
        <v>0</v>
      </c>
      <c r="DZ27" s="50">
        <v>0</v>
      </c>
      <c r="EA27" s="50">
        <v>1963.725000000024</v>
      </c>
      <c r="EB27" s="50">
        <v>3875.8000000000429</v>
      </c>
      <c r="EC27" s="470"/>
      <c r="ED27" s="50">
        <v>0</v>
      </c>
      <c r="EE27" s="50">
        <v>0</v>
      </c>
      <c r="EF27" s="50">
        <v>0</v>
      </c>
      <c r="EG27" s="50">
        <v>0</v>
      </c>
      <c r="EH27" s="470"/>
      <c r="EI27" s="50">
        <v>0</v>
      </c>
      <c r="EJ27" s="50">
        <v>0</v>
      </c>
      <c r="EK27" s="50">
        <v>111.15000000000055</v>
      </c>
      <c r="EL27" s="50">
        <v>456.59999999998763</v>
      </c>
      <c r="EM27" s="470"/>
      <c r="EN27" s="50">
        <v>0</v>
      </c>
      <c r="EO27" s="50">
        <v>0</v>
      </c>
      <c r="EP27" s="50">
        <v>198.74999999999454</v>
      </c>
      <c r="EQ27" s="50">
        <v>288.59999999999491</v>
      </c>
      <c r="ER27" s="470"/>
      <c r="ES27" s="50">
        <v>0</v>
      </c>
      <c r="ET27" s="50">
        <v>0</v>
      </c>
      <c r="EU27" s="50">
        <v>101.849999999994</v>
      </c>
      <c r="EV27" s="50">
        <v>0</v>
      </c>
      <c r="EW27" s="470"/>
      <c r="EX27" s="50">
        <v>0</v>
      </c>
      <c r="EY27" s="50">
        <v>0</v>
      </c>
      <c r="EZ27" s="50">
        <v>0</v>
      </c>
      <c r="FA27" s="50">
        <v>329.49999999999272</v>
      </c>
      <c r="FB27" s="470"/>
      <c r="FC27" s="50">
        <v>0</v>
      </c>
      <c r="FD27" s="50">
        <v>0</v>
      </c>
      <c r="FE27" s="50">
        <v>2437.1249999999482</v>
      </c>
      <c r="FF27" s="50">
        <v>4087.5</v>
      </c>
      <c r="FG27" s="470"/>
      <c r="FH27" s="50">
        <v>0</v>
      </c>
      <c r="FI27" s="50">
        <v>0</v>
      </c>
      <c r="FJ27" s="50">
        <v>274.87499999999454</v>
      </c>
      <c r="FK27" s="50">
        <v>167.99999999999636</v>
      </c>
      <c r="FL27" s="470"/>
      <c r="FM27" s="50">
        <v>0</v>
      </c>
      <c r="FN27" s="50">
        <v>0</v>
      </c>
      <c r="FO27" s="50">
        <v>0</v>
      </c>
      <c r="FP27" s="50">
        <v>123.39999999999782</v>
      </c>
      <c r="FQ27" s="470"/>
      <c r="FR27" s="50">
        <v>0</v>
      </c>
      <c r="FS27" s="50">
        <v>0</v>
      </c>
      <c r="FT27" s="50">
        <v>0</v>
      </c>
      <c r="FU27" s="50">
        <v>515.19999999999345</v>
      </c>
      <c r="FV27" s="470"/>
      <c r="FW27" s="50">
        <v>0</v>
      </c>
      <c r="FX27" s="50">
        <v>0</v>
      </c>
      <c r="FY27" s="50">
        <v>0</v>
      </c>
      <c r="FZ27" s="50">
        <v>0</v>
      </c>
      <c r="GA27" s="470"/>
      <c r="GB27" s="50">
        <v>0</v>
      </c>
      <c r="GC27" s="50">
        <v>0</v>
      </c>
      <c r="GD27" s="50">
        <v>469.724999999994</v>
      </c>
      <c r="GE27" s="50">
        <v>384.49999999999272</v>
      </c>
      <c r="GF27" s="470"/>
      <c r="GG27" s="50">
        <v>0</v>
      </c>
      <c r="GH27" s="50">
        <v>0</v>
      </c>
      <c r="GI27" s="50">
        <v>0</v>
      </c>
      <c r="GJ27" s="50">
        <v>0</v>
      </c>
      <c r="GK27" s="470"/>
      <c r="GL27" s="50">
        <v>0</v>
      </c>
      <c r="GM27" s="50">
        <v>0</v>
      </c>
      <c r="GN27" s="50">
        <v>865.64999999999236</v>
      </c>
      <c r="GO27" s="50">
        <v>1015.3999999999978</v>
      </c>
      <c r="GP27" s="470"/>
      <c r="GQ27" s="50">
        <v>0</v>
      </c>
      <c r="GR27" s="50">
        <v>0</v>
      </c>
      <c r="GS27" s="50">
        <v>254.99999999998909</v>
      </c>
      <c r="GT27" s="50">
        <v>323.50000000000364</v>
      </c>
      <c r="GU27" s="470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56346.725000000166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0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0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0"/>
      <c r="S28" s="458">
        <v>69.25</v>
      </c>
      <c r="T28" s="50">
        <v>114.30000000000018</v>
      </c>
      <c r="U28" s="508">
        <v>138.8250000000001</v>
      </c>
      <c r="V28" s="50">
        <f>'Punten per wedstrijd'!F27</f>
        <v>237.09999999999991</v>
      </c>
      <c r="W28" s="470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0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70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0"/>
      <c r="AM28" s="458">
        <v>118.32499999999993</v>
      </c>
      <c r="AN28" s="458">
        <v>306.40000000000009</v>
      </c>
      <c r="AO28" s="458">
        <v>216.15000000000055</v>
      </c>
      <c r="AP28" s="50">
        <v>587.30000000000018</v>
      </c>
      <c r="AQ28" s="470"/>
      <c r="AR28" s="50">
        <v>13.900000000001</v>
      </c>
      <c r="AS28" s="50">
        <v>0</v>
      </c>
      <c r="AT28" s="50">
        <v>129.29999999999973</v>
      </c>
      <c r="AU28" s="50">
        <v>117</v>
      </c>
      <c r="AV28" s="470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70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70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70"/>
      <c r="BL28" s="50">
        <v>0</v>
      </c>
      <c r="BM28" s="50">
        <v>46.800000000000182</v>
      </c>
      <c r="BN28" s="50">
        <v>186.90000000000055</v>
      </c>
      <c r="BO28" s="518">
        <v>129.30000000000001</v>
      </c>
      <c r="BP28" s="470"/>
      <c r="BQ28" s="50">
        <v>9.5250000000005457</v>
      </c>
      <c r="BR28" s="50">
        <v>240.92500000000018</v>
      </c>
      <c r="BS28" s="50">
        <v>117.45000000000027</v>
      </c>
      <c r="BT28" s="518">
        <v>524.10000000000036</v>
      </c>
      <c r="BU28" s="470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0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0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0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0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0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0"/>
      <c r="CZ28" s="50">
        <v>5.625</v>
      </c>
      <c r="DA28" s="50">
        <v>0</v>
      </c>
      <c r="DB28" s="50">
        <v>112.12500000000273</v>
      </c>
      <c r="DC28" s="50">
        <v>244</v>
      </c>
      <c r="DD28" s="470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0"/>
      <c r="DJ28" s="50">
        <v>179.79999999999973</v>
      </c>
      <c r="DK28" s="50">
        <v>0</v>
      </c>
      <c r="DL28" s="50">
        <v>0</v>
      </c>
      <c r="DM28" s="50">
        <v>0</v>
      </c>
      <c r="DN28" s="470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0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0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0"/>
      <c r="ED28" s="50">
        <v>16.875000000001819</v>
      </c>
      <c r="EE28" s="50">
        <v>0</v>
      </c>
      <c r="EF28" s="50">
        <v>0</v>
      </c>
      <c r="EG28" s="50">
        <v>0</v>
      </c>
      <c r="EH28" s="470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0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0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0"/>
      <c r="EX28" s="50">
        <v>80.675000000000182</v>
      </c>
      <c r="EY28" s="50">
        <v>0</v>
      </c>
      <c r="EZ28" s="50">
        <v>0</v>
      </c>
      <c r="FA28" s="50">
        <v>223.29999999999927</v>
      </c>
      <c r="FB28" s="470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0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0"/>
      <c r="FM28" s="50">
        <v>113.27499999999964</v>
      </c>
      <c r="FN28" s="50">
        <v>0</v>
      </c>
      <c r="FO28" s="50">
        <v>0</v>
      </c>
      <c r="FP28" s="50">
        <v>296.80000000000291</v>
      </c>
      <c r="FQ28" s="470"/>
      <c r="FR28" s="50">
        <v>57.800000000000182</v>
      </c>
      <c r="FS28" s="50">
        <v>0</v>
      </c>
      <c r="FT28" s="50">
        <v>0</v>
      </c>
      <c r="FU28" s="50">
        <v>348.5</v>
      </c>
      <c r="FV28" s="470"/>
      <c r="FW28" s="50">
        <v>27.300000000000182</v>
      </c>
      <c r="FX28" s="50">
        <v>0</v>
      </c>
      <c r="FY28" s="50">
        <v>0</v>
      </c>
      <c r="FZ28" s="50">
        <v>0</v>
      </c>
      <c r="GA28" s="470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0"/>
      <c r="GG28" s="50">
        <v>135.05000000000018</v>
      </c>
      <c r="GH28" s="50">
        <v>0</v>
      </c>
      <c r="GI28" s="50">
        <v>0</v>
      </c>
      <c r="GJ28" s="50">
        <v>0</v>
      </c>
      <c r="GK28" s="470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0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0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3377</v>
      </c>
      <c r="B29" s="46">
        <f t="shared" si="0"/>
        <v>5681.0000000000018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0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0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0"/>
      <c r="S29" s="458">
        <v>0</v>
      </c>
      <c r="T29" s="50">
        <v>0</v>
      </c>
      <c r="U29" s="508">
        <v>0</v>
      </c>
      <c r="V29" s="50">
        <f>'Punten per wedstrijd'!F28</f>
        <v>253.69999999999982</v>
      </c>
      <c r="W29" s="470"/>
      <c r="X29" s="50">
        <v>0</v>
      </c>
      <c r="Y29" s="50">
        <v>0</v>
      </c>
      <c r="Z29" s="50">
        <v>0</v>
      </c>
      <c r="AA29" s="50">
        <v>420.49999999999955</v>
      </c>
      <c r="AB29" s="470"/>
      <c r="AC29" s="50">
        <v>0</v>
      </c>
      <c r="AD29" s="50">
        <v>0</v>
      </c>
      <c r="AE29" s="50">
        <v>0</v>
      </c>
      <c r="AF29" s="50">
        <v>613.40000000000009</v>
      </c>
      <c r="AG29" s="470"/>
      <c r="AH29" s="50">
        <v>0</v>
      </c>
      <c r="AI29" s="50">
        <v>0</v>
      </c>
      <c r="AJ29" s="50">
        <v>0</v>
      </c>
      <c r="AK29" s="50">
        <v>439.90000000000009</v>
      </c>
      <c r="AL29" s="470"/>
      <c r="AM29" s="458">
        <v>0</v>
      </c>
      <c r="AN29" s="458">
        <v>0</v>
      </c>
      <c r="AO29" s="458">
        <v>0</v>
      </c>
      <c r="AP29" s="50">
        <v>487.5</v>
      </c>
      <c r="AQ29" s="470"/>
      <c r="AR29" s="50">
        <v>0</v>
      </c>
      <c r="AS29" s="50">
        <v>0</v>
      </c>
      <c r="AT29" s="50">
        <v>0</v>
      </c>
      <c r="AU29" s="50">
        <v>130</v>
      </c>
      <c r="AV29" s="470"/>
      <c r="AW29" s="50">
        <v>0</v>
      </c>
      <c r="AX29" s="50">
        <v>0</v>
      </c>
      <c r="AY29" s="50">
        <v>0</v>
      </c>
      <c r="AZ29" s="50">
        <v>799.10000000000127</v>
      </c>
      <c r="BA29" s="470"/>
      <c r="BB29" s="50">
        <v>0</v>
      </c>
      <c r="BC29" s="50">
        <v>0</v>
      </c>
      <c r="BD29" s="50">
        <v>0</v>
      </c>
      <c r="BE29" s="50">
        <v>431.7</v>
      </c>
      <c r="BF29" s="470"/>
      <c r="BG29" s="50">
        <v>0</v>
      </c>
      <c r="BH29" s="50">
        <v>0</v>
      </c>
      <c r="BI29" s="50">
        <v>0</v>
      </c>
      <c r="BJ29" s="50">
        <v>300.8</v>
      </c>
      <c r="BK29" s="470"/>
      <c r="BL29" s="50">
        <v>0</v>
      </c>
      <c r="BM29" s="50">
        <v>0</v>
      </c>
      <c r="BN29" s="50">
        <v>0</v>
      </c>
      <c r="BO29" s="518">
        <v>183.3</v>
      </c>
      <c r="BP29" s="470"/>
      <c r="BQ29" s="50">
        <v>0</v>
      </c>
      <c r="BR29" s="50">
        <v>0</v>
      </c>
      <c r="BS29" s="50">
        <v>0</v>
      </c>
      <c r="BT29" s="518">
        <v>600.10000000000127</v>
      </c>
      <c r="BU29" s="470"/>
      <c r="BV29" s="50"/>
      <c r="BW29" s="50"/>
      <c r="BX29" s="50"/>
      <c r="BY29" s="50"/>
      <c r="BZ29" s="470"/>
      <c r="CA29" s="50"/>
      <c r="CB29" s="50"/>
      <c r="CC29" s="50"/>
      <c r="CD29" s="50"/>
      <c r="CE29" s="470"/>
      <c r="CF29" s="50"/>
      <c r="CG29" s="50"/>
      <c r="CH29" s="50"/>
      <c r="CI29" s="50"/>
      <c r="CJ29" s="470"/>
      <c r="CK29" s="50"/>
      <c r="CL29" s="50"/>
      <c r="CM29" s="50"/>
      <c r="CN29" s="50"/>
      <c r="CO29" s="470"/>
      <c r="CP29" s="50"/>
      <c r="CQ29" s="50"/>
      <c r="CR29" s="50"/>
      <c r="CS29" s="50"/>
      <c r="CT29" s="470"/>
      <c r="CU29" s="50"/>
      <c r="CV29" s="50"/>
      <c r="CW29" s="50"/>
      <c r="CX29" s="50"/>
      <c r="CY29" s="470"/>
      <c r="CZ29" s="50"/>
      <c r="DA29" s="50"/>
      <c r="DB29" s="50"/>
      <c r="DC29" s="50"/>
      <c r="DD29" s="470"/>
      <c r="DE29" s="50"/>
      <c r="DF29" s="50"/>
      <c r="DG29" s="50"/>
      <c r="DH29" s="50"/>
      <c r="DI29" s="470"/>
      <c r="DJ29" s="50"/>
      <c r="DK29" s="50"/>
      <c r="DL29" s="50"/>
      <c r="DM29" s="50"/>
      <c r="DN29" s="470"/>
      <c r="DO29" s="50"/>
      <c r="DP29" s="50"/>
      <c r="DQ29" s="50"/>
      <c r="DR29" s="50"/>
      <c r="DS29" s="470"/>
      <c r="DT29" s="50"/>
      <c r="DU29" s="50"/>
      <c r="DV29" s="50"/>
      <c r="DW29" s="50"/>
      <c r="DX29" s="470"/>
      <c r="DY29" s="50"/>
      <c r="DZ29" s="50"/>
      <c r="EA29" s="50"/>
      <c r="EB29" s="50"/>
      <c r="EC29" s="470"/>
      <c r="ED29" s="50"/>
      <c r="EE29" s="50"/>
      <c r="EF29" s="50"/>
      <c r="EG29" s="50"/>
      <c r="EH29" s="470"/>
      <c r="EI29" s="50"/>
      <c r="EJ29" s="50"/>
      <c r="EK29" s="50"/>
      <c r="EL29" s="50"/>
      <c r="EM29" s="470"/>
      <c r="EN29" s="50"/>
      <c r="EO29" s="50"/>
      <c r="EP29" s="50"/>
      <c r="EQ29" s="50"/>
      <c r="ER29" s="470"/>
      <c r="ES29" s="50"/>
      <c r="ET29" s="50"/>
      <c r="EU29" s="50"/>
      <c r="EV29" s="50"/>
      <c r="EW29" s="470"/>
      <c r="EX29" s="50"/>
      <c r="EY29" s="50"/>
      <c r="EZ29" s="50"/>
      <c r="FA29" s="50"/>
      <c r="FB29" s="470"/>
      <c r="FC29" s="50"/>
      <c r="FD29" s="50"/>
      <c r="FE29" s="50"/>
      <c r="FF29" s="50"/>
      <c r="FG29" s="470"/>
      <c r="FH29" s="50"/>
      <c r="FI29" s="50"/>
      <c r="FJ29" s="50"/>
      <c r="FK29" s="50"/>
      <c r="FL29" s="470"/>
      <c r="FM29" s="50"/>
      <c r="FN29" s="50"/>
      <c r="FO29" s="50"/>
      <c r="FP29" s="50"/>
      <c r="FQ29" s="470"/>
      <c r="FR29" s="50"/>
      <c r="FS29" s="50"/>
      <c r="FT29" s="50"/>
      <c r="FU29" s="50"/>
      <c r="FV29" s="470"/>
      <c r="FW29" s="50"/>
      <c r="FX29" s="50"/>
      <c r="FY29" s="50"/>
      <c r="FZ29" s="50"/>
      <c r="GA29" s="470"/>
      <c r="GB29" s="50"/>
      <c r="GC29" s="50"/>
      <c r="GD29" s="50"/>
      <c r="GE29" s="50"/>
      <c r="GF29" s="470"/>
      <c r="GG29" s="50"/>
      <c r="GH29" s="50"/>
      <c r="GI29" s="50"/>
      <c r="GJ29" s="50"/>
      <c r="GK29" s="470"/>
      <c r="GL29" s="50"/>
      <c r="GM29" s="50"/>
      <c r="GN29" s="50"/>
      <c r="GO29" s="50"/>
      <c r="GP29" s="470"/>
      <c r="GQ29" s="50"/>
      <c r="GR29" s="50"/>
      <c r="GS29" s="50"/>
      <c r="GT29" s="50"/>
      <c r="GU29" s="470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2029</v>
      </c>
      <c r="B30" s="46">
        <f t="shared" si="0"/>
        <v>26212.375000000065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0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0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0"/>
      <c r="S30" s="458">
        <v>0</v>
      </c>
      <c r="T30" s="50">
        <v>0</v>
      </c>
      <c r="U30" s="508">
        <v>157.57499999999993</v>
      </c>
      <c r="V30" s="50">
        <f>'Punten per wedstrijd'!F29</f>
        <v>353.09999999999991</v>
      </c>
      <c r="W30" s="470"/>
      <c r="X30" s="50">
        <v>0</v>
      </c>
      <c r="Y30" s="50">
        <v>0</v>
      </c>
      <c r="Z30" s="50">
        <v>203.625</v>
      </c>
      <c r="AA30" s="50">
        <v>419.20000000000027</v>
      </c>
      <c r="AB30" s="470"/>
      <c r="AC30" s="50">
        <v>0</v>
      </c>
      <c r="AD30" s="50">
        <v>0</v>
      </c>
      <c r="AE30" s="50">
        <v>437.4749999999998</v>
      </c>
      <c r="AF30" s="50">
        <v>988.10000000000036</v>
      </c>
      <c r="AG30" s="470"/>
      <c r="AH30" s="50">
        <v>0</v>
      </c>
      <c r="AI30" s="50">
        <v>0</v>
      </c>
      <c r="AJ30" s="50">
        <v>564.52499999999884</v>
      </c>
      <c r="AK30" s="50">
        <v>603.30000000000018</v>
      </c>
      <c r="AL30" s="470"/>
      <c r="AM30" s="458">
        <v>0</v>
      </c>
      <c r="AN30" s="458">
        <v>0</v>
      </c>
      <c r="AO30" s="458">
        <v>325.87499999999898</v>
      </c>
      <c r="AP30" s="50">
        <v>696.10000000000036</v>
      </c>
      <c r="AQ30" s="470"/>
      <c r="AR30" s="50">
        <v>0</v>
      </c>
      <c r="AS30" s="50">
        <v>0</v>
      </c>
      <c r="AT30" s="50">
        <v>327</v>
      </c>
      <c r="AU30" s="50">
        <v>144</v>
      </c>
      <c r="AV30" s="470"/>
      <c r="AW30" s="50">
        <v>0</v>
      </c>
      <c r="AX30" s="50">
        <v>0</v>
      </c>
      <c r="AY30" s="50">
        <v>131.92499999999905</v>
      </c>
      <c r="AZ30" s="50">
        <v>926.69999999999982</v>
      </c>
      <c r="BA30" s="470"/>
      <c r="BB30" s="50">
        <v>0</v>
      </c>
      <c r="BC30" s="50">
        <v>0</v>
      </c>
      <c r="BD30" s="50">
        <v>253.64999999999986</v>
      </c>
      <c r="BE30" s="50">
        <v>705.09999999999991</v>
      </c>
      <c r="BF30" s="470"/>
      <c r="BG30" s="50">
        <v>0</v>
      </c>
      <c r="BH30" s="50">
        <v>0</v>
      </c>
      <c r="BI30" s="50">
        <v>302.32499999999959</v>
      </c>
      <c r="BJ30" s="50">
        <v>319.29999999999995</v>
      </c>
      <c r="BK30" s="470"/>
      <c r="BL30" s="50">
        <v>0</v>
      </c>
      <c r="BM30" s="50">
        <v>0</v>
      </c>
      <c r="BN30" s="50">
        <v>320.25</v>
      </c>
      <c r="BO30" s="518">
        <v>279.90000000000003</v>
      </c>
      <c r="BP30" s="470"/>
      <c r="BQ30" s="50">
        <v>0</v>
      </c>
      <c r="BR30" s="50">
        <v>0</v>
      </c>
      <c r="BS30" s="50">
        <v>338.77500000000055</v>
      </c>
      <c r="BT30" s="518">
        <v>599.40000000000055</v>
      </c>
      <c r="BU30" s="470"/>
      <c r="BV30" s="50">
        <v>0</v>
      </c>
      <c r="BW30" s="50">
        <v>0</v>
      </c>
      <c r="BX30" s="50">
        <v>0</v>
      </c>
      <c r="BY30" s="50">
        <v>723.80000000000018</v>
      </c>
      <c r="BZ30" s="470"/>
      <c r="CA30" s="50">
        <v>0</v>
      </c>
      <c r="CB30" s="50">
        <v>0</v>
      </c>
      <c r="CC30" s="50">
        <v>0</v>
      </c>
      <c r="CD30" s="50">
        <v>366.00000000000091</v>
      </c>
      <c r="CE30" s="470"/>
      <c r="CF30" s="50">
        <v>0</v>
      </c>
      <c r="CG30" s="50">
        <v>0</v>
      </c>
      <c r="CH30" s="50">
        <v>0</v>
      </c>
      <c r="CI30" s="50">
        <v>322.59999999999945</v>
      </c>
      <c r="CJ30" s="470"/>
      <c r="CK30" s="50">
        <v>0</v>
      </c>
      <c r="CL30" s="50">
        <v>0</v>
      </c>
      <c r="CM30" s="50">
        <v>0</v>
      </c>
      <c r="CN30" s="50">
        <v>296.29999999999927</v>
      </c>
      <c r="CO30" s="470"/>
      <c r="CP30" s="50">
        <v>0</v>
      </c>
      <c r="CQ30" s="50">
        <v>0</v>
      </c>
      <c r="CR30" s="50">
        <v>0</v>
      </c>
      <c r="CS30" s="50">
        <v>303.10000000000127</v>
      </c>
      <c r="CT30" s="470"/>
      <c r="CU30" s="50">
        <v>0</v>
      </c>
      <c r="CV30" s="50">
        <v>0</v>
      </c>
      <c r="CW30" s="50">
        <v>0</v>
      </c>
      <c r="CX30" s="50">
        <v>441.600000000004</v>
      </c>
      <c r="CY30" s="470"/>
      <c r="CZ30" s="50">
        <v>0</v>
      </c>
      <c r="DA30" s="50">
        <v>0</v>
      </c>
      <c r="DB30" s="50">
        <v>0</v>
      </c>
      <c r="DC30" s="50">
        <v>416.10000000000036</v>
      </c>
      <c r="DD30" s="470"/>
      <c r="DE30" s="50">
        <v>0</v>
      </c>
      <c r="DF30" s="50">
        <v>0</v>
      </c>
      <c r="DG30" s="50">
        <v>0</v>
      </c>
      <c r="DH30" s="50">
        <v>1997.8</v>
      </c>
      <c r="DI30" s="470"/>
      <c r="DJ30" s="50">
        <v>0</v>
      </c>
      <c r="DK30" s="50">
        <v>0</v>
      </c>
      <c r="DL30" s="50">
        <v>0</v>
      </c>
      <c r="DM30" s="50">
        <v>0</v>
      </c>
      <c r="DN30" s="470"/>
      <c r="DO30" s="50">
        <v>0</v>
      </c>
      <c r="DP30" s="50">
        <v>0</v>
      </c>
      <c r="DQ30" s="50">
        <v>0</v>
      </c>
      <c r="DR30" s="50">
        <v>479.70000000000073</v>
      </c>
      <c r="DS30" s="470"/>
      <c r="DT30" s="50">
        <v>0</v>
      </c>
      <c r="DU30" s="50">
        <v>0</v>
      </c>
      <c r="DV30" s="50">
        <v>0</v>
      </c>
      <c r="DW30" s="50">
        <v>560.40000000000146</v>
      </c>
      <c r="DX30" s="470"/>
      <c r="DY30" s="50">
        <v>0</v>
      </c>
      <c r="DZ30" s="50">
        <v>0</v>
      </c>
      <c r="EA30" s="50">
        <v>0</v>
      </c>
      <c r="EB30" s="50">
        <v>3644.5000000000418</v>
      </c>
      <c r="EC30" s="470"/>
      <c r="ED30" s="50">
        <v>0</v>
      </c>
      <c r="EE30" s="50">
        <v>0</v>
      </c>
      <c r="EF30" s="50">
        <v>0</v>
      </c>
      <c r="EG30" s="50">
        <v>0</v>
      </c>
      <c r="EH30" s="470"/>
      <c r="EI30" s="50">
        <v>0</v>
      </c>
      <c r="EJ30" s="50">
        <v>0</v>
      </c>
      <c r="EK30" s="50">
        <v>0</v>
      </c>
      <c r="EL30" s="50">
        <v>427.300000000007</v>
      </c>
      <c r="EM30" s="470"/>
      <c r="EN30" s="50">
        <v>0</v>
      </c>
      <c r="EO30" s="50">
        <v>0</v>
      </c>
      <c r="EP30" s="50">
        <v>0</v>
      </c>
      <c r="EQ30" s="50">
        <v>110.90000000000509</v>
      </c>
      <c r="ER30" s="470"/>
      <c r="ES30" s="50">
        <v>0</v>
      </c>
      <c r="ET30" s="50">
        <v>0</v>
      </c>
      <c r="EU30" s="50">
        <v>0</v>
      </c>
      <c r="EV30" s="50">
        <v>0</v>
      </c>
      <c r="EW30" s="470"/>
      <c r="EX30" s="50">
        <v>0</v>
      </c>
      <c r="EY30" s="50">
        <v>0</v>
      </c>
      <c r="EZ30" s="50">
        <v>0</v>
      </c>
      <c r="FA30" s="50">
        <v>166.00000000000364</v>
      </c>
      <c r="FB30" s="470"/>
      <c r="FC30" s="50">
        <v>0</v>
      </c>
      <c r="FD30" s="50">
        <v>0</v>
      </c>
      <c r="FE30" s="50">
        <v>0</v>
      </c>
      <c r="FF30" s="50">
        <v>3153.9</v>
      </c>
      <c r="FG30" s="470"/>
      <c r="FH30" s="50">
        <v>0</v>
      </c>
      <c r="FI30" s="50">
        <v>0</v>
      </c>
      <c r="FJ30" s="50">
        <v>0</v>
      </c>
      <c r="FK30" s="50">
        <v>156</v>
      </c>
      <c r="FL30" s="470"/>
      <c r="FM30" s="50">
        <v>0</v>
      </c>
      <c r="FN30" s="50">
        <v>0</v>
      </c>
      <c r="FO30" s="50">
        <v>0</v>
      </c>
      <c r="FP30" s="50">
        <v>99.900000000001455</v>
      </c>
      <c r="FQ30" s="470"/>
      <c r="FR30" s="50">
        <v>0</v>
      </c>
      <c r="FS30" s="50">
        <v>0</v>
      </c>
      <c r="FT30" s="50">
        <v>0</v>
      </c>
      <c r="FU30" s="50">
        <v>274</v>
      </c>
      <c r="FV30" s="470"/>
      <c r="FW30" s="50">
        <v>0</v>
      </c>
      <c r="FX30" s="50">
        <v>0</v>
      </c>
      <c r="FY30" s="50">
        <v>0</v>
      </c>
      <c r="FZ30" s="50">
        <v>0</v>
      </c>
      <c r="GA30" s="470"/>
      <c r="GB30" s="50">
        <v>0</v>
      </c>
      <c r="GC30" s="50">
        <v>0</v>
      </c>
      <c r="GD30" s="50">
        <v>0</v>
      </c>
      <c r="GE30" s="50">
        <v>156.09999999999854</v>
      </c>
      <c r="GF30" s="470"/>
      <c r="GG30" s="50">
        <v>0</v>
      </c>
      <c r="GH30" s="50">
        <v>0</v>
      </c>
      <c r="GI30" s="50">
        <v>0</v>
      </c>
      <c r="GJ30" s="50">
        <v>0</v>
      </c>
      <c r="GK30" s="470"/>
      <c r="GL30" s="50">
        <v>0</v>
      </c>
      <c r="GM30" s="50">
        <v>0</v>
      </c>
      <c r="GN30" s="50">
        <v>0</v>
      </c>
      <c r="GO30" s="50">
        <v>782.59999999999854</v>
      </c>
      <c r="GP30" s="470"/>
      <c r="GQ30" s="50">
        <v>0</v>
      </c>
      <c r="GR30" s="50">
        <v>0</v>
      </c>
      <c r="GS30" s="50">
        <v>0</v>
      </c>
      <c r="GT30" s="50">
        <v>256.50000000000364</v>
      </c>
      <c r="GU30" s="470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46890.312499999927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0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0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0"/>
      <c r="S31" s="458">
        <v>24.375000000000057</v>
      </c>
      <c r="T31" s="50">
        <v>99.549999999999898</v>
      </c>
      <c r="U31" s="508">
        <v>243.15000000000055</v>
      </c>
      <c r="V31" s="50">
        <f>'Punten per wedstrijd'!F30</f>
        <v>235.50000000000023</v>
      </c>
      <c r="W31" s="470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0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70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0"/>
      <c r="AM31" s="458">
        <v>52.374999999999773</v>
      </c>
      <c r="AN31" s="458">
        <v>225.34999999999991</v>
      </c>
      <c r="AO31" s="458">
        <v>265.38749999999891</v>
      </c>
      <c r="AP31" s="50">
        <v>473.79999999999927</v>
      </c>
      <c r="AQ31" s="470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70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70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70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70"/>
      <c r="BL31" s="50">
        <v>0</v>
      </c>
      <c r="BM31" s="50">
        <v>7.6499999999991815</v>
      </c>
      <c r="BN31" s="50">
        <v>144.26249999999891</v>
      </c>
      <c r="BO31" s="518">
        <v>221.6</v>
      </c>
      <c r="BP31" s="470"/>
      <c r="BQ31" s="50">
        <v>0.3499999999994543</v>
      </c>
      <c r="BR31" s="50">
        <v>163.54999999999927</v>
      </c>
      <c r="BS31" s="50">
        <v>161.13750000000027</v>
      </c>
      <c r="BT31" s="518">
        <v>503.49999999999909</v>
      </c>
      <c r="BU31" s="470"/>
      <c r="BV31" s="50">
        <v>0</v>
      </c>
      <c r="BW31" s="50">
        <v>0</v>
      </c>
      <c r="BX31" s="50">
        <v>617.84999999999809</v>
      </c>
      <c r="BY31" s="50">
        <v>511.09999999999945</v>
      </c>
      <c r="BZ31" s="470"/>
      <c r="CA31" s="50">
        <v>0</v>
      </c>
      <c r="CB31" s="50">
        <v>0</v>
      </c>
      <c r="CC31" s="50">
        <v>136.34999999999945</v>
      </c>
      <c r="CD31" s="50">
        <v>140.00000000000091</v>
      </c>
      <c r="CE31" s="470"/>
      <c r="CF31" s="50">
        <v>0</v>
      </c>
      <c r="CG31" s="50">
        <v>0</v>
      </c>
      <c r="CH31" s="50">
        <v>346.34999999999877</v>
      </c>
      <c r="CI31" s="50">
        <v>62.400000000000546</v>
      </c>
      <c r="CJ31" s="470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0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0"/>
      <c r="CU31" s="50">
        <v>0</v>
      </c>
      <c r="CV31" s="50">
        <v>0</v>
      </c>
      <c r="CW31" s="50">
        <v>416.09999999999945</v>
      </c>
      <c r="CX31" s="50">
        <v>303.40000000000146</v>
      </c>
      <c r="CY31" s="470"/>
      <c r="CZ31" s="50">
        <v>0</v>
      </c>
      <c r="DA31" s="50">
        <v>0</v>
      </c>
      <c r="DB31" s="50">
        <v>107.99999999999454</v>
      </c>
      <c r="DC31" s="50">
        <v>238.70000000000073</v>
      </c>
      <c r="DD31" s="470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0"/>
      <c r="DJ31" s="50">
        <v>0</v>
      </c>
      <c r="DK31" s="50">
        <v>0</v>
      </c>
      <c r="DL31" s="50">
        <v>0</v>
      </c>
      <c r="DM31" s="50">
        <v>0</v>
      </c>
      <c r="DN31" s="470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0"/>
      <c r="DT31" s="50">
        <v>0</v>
      </c>
      <c r="DU31" s="50">
        <v>0</v>
      </c>
      <c r="DV31" s="50">
        <v>418.79999999999427</v>
      </c>
      <c r="DW31" s="50">
        <v>316.30000000000291</v>
      </c>
      <c r="DX31" s="470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0"/>
      <c r="ED31" s="50">
        <v>0</v>
      </c>
      <c r="EE31" s="50">
        <v>0</v>
      </c>
      <c r="EF31" s="50">
        <v>0</v>
      </c>
      <c r="EG31" s="50">
        <v>0</v>
      </c>
      <c r="EH31" s="470"/>
      <c r="EI31" s="50">
        <v>0</v>
      </c>
      <c r="EJ31" s="50">
        <v>0</v>
      </c>
      <c r="EK31" s="50">
        <v>122.62499999999727</v>
      </c>
      <c r="EL31" s="50">
        <v>313.00000000000364</v>
      </c>
      <c r="EM31" s="470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0"/>
      <c r="ES31" s="50">
        <v>0</v>
      </c>
      <c r="ET31" s="50">
        <v>23.049999999999272</v>
      </c>
      <c r="EU31" s="50">
        <v>96.899999999995089</v>
      </c>
      <c r="EV31" s="50">
        <v>0</v>
      </c>
      <c r="EW31" s="470"/>
      <c r="EX31" s="50">
        <v>0</v>
      </c>
      <c r="EY31" s="50">
        <v>0</v>
      </c>
      <c r="EZ31" s="50">
        <v>0</v>
      </c>
      <c r="FA31" s="50">
        <v>248.40000000000873</v>
      </c>
      <c r="FB31" s="470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0"/>
      <c r="FH31" s="50">
        <v>0</v>
      </c>
      <c r="FI31" s="50">
        <v>0</v>
      </c>
      <c r="FJ31" s="50">
        <v>261.44999999999345</v>
      </c>
      <c r="FK31" s="50">
        <v>197.70000000000073</v>
      </c>
      <c r="FL31" s="470"/>
      <c r="FM31" s="50">
        <v>0</v>
      </c>
      <c r="FN31" s="50">
        <v>0</v>
      </c>
      <c r="FO31" s="50">
        <v>0</v>
      </c>
      <c r="FP31" s="50">
        <v>189.10000000000218</v>
      </c>
      <c r="FQ31" s="470"/>
      <c r="FR31" s="50">
        <v>0</v>
      </c>
      <c r="FS31" s="50">
        <v>0</v>
      </c>
      <c r="FT31" s="50">
        <v>0</v>
      </c>
      <c r="FU31" s="50">
        <v>543.20000000000437</v>
      </c>
      <c r="FV31" s="470"/>
      <c r="FW31" s="50">
        <v>0</v>
      </c>
      <c r="FX31" s="50">
        <v>0</v>
      </c>
      <c r="FY31" s="50">
        <v>0</v>
      </c>
      <c r="FZ31" s="50">
        <v>0</v>
      </c>
      <c r="GA31" s="470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0"/>
      <c r="GG31" s="50">
        <v>0</v>
      </c>
      <c r="GH31" s="50">
        <v>0</v>
      </c>
      <c r="GI31" s="50">
        <v>0</v>
      </c>
      <c r="GJ31" s="50">
        <v>0</v>
      </c>
      <c r="GK31" s="470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0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0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39061.787499999919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0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0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0"/>
      <c r="S32" s="458">
        <v>24.5</v>
      </c>
      <c r="T32" s="50">
        <v>188.59999999999991</v>
      </c>
      <c r="U32" s="508">
        <v>248.32499999999993</v>
      </c>
      <c r="V32" s="50">
        <f>'Punten per wedstrijd'!F31</f>
        <v>121.50000000000045</v>
      </c>
      <c r="W32" s="470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0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70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0"/>
      <c r="AM32" s="458">
        <v>90.649999999999977</v>
      </c>
      <c r="AN32" s="458">
        <v>69.300000000000182</v>
      </c>
      <c r="AO32" s="458">
        <v>289.76249999999959</v>
      </c>
      <c r="AP32" s="50">
        <v>454.99999999999909</v>
      </c>
      <c r="AQ32" s="470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70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70"/>
      <c r="BB32" s="50">
        <v>0</v>
      </c>
      <c r="BC32" s="50">
        <v>24.450000000000045</v>
      </c>
      <c r="BD32" s="50">
        <v>401.69999999999959</v>
      </c>
      <c r="BE32" s="50">
        <v>404</v>
      </c>
      <c r="BF32" s="470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70"/>
      <c r="BL32" s="50">
        <v>0</v>
      </c>
      <c r="BM32" s="50">
        <v>42.149999999999864</v>
      </c>
      <c r="BN32" s="50">
        <v>169.20000000000027</v>
      </c>
      <c r="BO32" s="518">
        <v>260.8</v>
      </c>
      <c r="BP32" s="470"/>
      <c r="BQ32" s="50">
        <v>29.349999999999909</v>
      </c>
      <c r="BR32" s="50">
        <v>66.700000000000045</v>
      </c>
      <c r="BS32" s="50">
        <v>137.47500000000082</v>
      </c>
      <c r="BT32" s="518">
        <v>573.69999999999891</v>
      </c>
      <c r="BU32" s="470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0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0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0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0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0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0"/>
      <c r="CZ32" s="50">
        <v>3.9000000000000909</v>
      </c>
      <c r="DA32" s="50">
        <v>0</v>
      </c>
      <c r="DB32" s="50">
        <v>0</v>
      </c>
      <c r="DC32" s="50">
        <v>14.300000000000182</v>
      </c>
      <c r="DD32" s="470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0"/>
      <c r="DJ32" s="50">
        <v>109.70000000000073</v>
      </c>
      <c r="DK32" s="50">
        <v>0</v>
      </c>
      <c r="DL32" s="50">
        <v>0</v>
      </c>
      <c r="DM32" s="50">
        <v>0</v>
      </c>
      <c r="DN32" s="470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0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0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0"/>
      <c r="ED32" s="50">
        <v>37.5</v>
      </c>
      <c r="EE32" s="50">
        <v>0</v>
      </c>
      <c r="EF32" s="50">
        <v>0</v>
      </c>
      <c r="EG32" s="50">
        <v>0</v>
      </c>
      <c r="EH32" s="470"/>
      <c r="EI32" s="50">
        <v>46</v>
      </c>
      <c r="EJ32" s="50">
        <v>0</v>
      </c>
      <c r="EK32" s="50">
        <v>18.97499999999809</v>
      </c>
      <c r="EL32" s="50">
        <v>303.49999999999818</v>
      </c>
      <c r="EM32" s="470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0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0"/>
      <c r="EX32" s="50">
        <v>15.125000000001819</v>
      </c>
      <c r="EY32" s="50">
        <v>0</v>
      </c>
      <c r="EZ32" s="50">
        <v>0</v>
      </c>
      <c r="FA32" s="50">
        <v>204.19999999999891</v>
      </c>
      <c r="FB32" s="470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0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0"/>
      <c r="FM32" s="50">
        <v>79.875000000002728</v>
      </c>
      <c r="FN32" s="50">
        <v>0</v>
      </c>
      <c r="FO32" s="50">
        <v>0</v>
      </c>
      <c r="FP32" s="50">
        <v>169.44999999999709</v>
      </c>
      <c r="FQ32" s="470"/>
      <c r="FR32" s="50">
        <v>72.250000000003638</v>
      </c>
      <c r="FS32" s="50">
        <v>0</v>
      </c>
      <c r="FT32" s="50">
        <v>0</v>
      </c>
      <c r="FU32" s="50">
        <v>409.49999999999818</v>
      </c>
      <c r="FV32" s="470"/>
      <c r="FW32" s="50">
        <v>49.899999999999864</v>
      </c>
      <c r="FX32" s="50">
        <v>0</v>
      </c>
      <c r="FY32" s="50">
        <v>0</v>
      </c>
      <c r="FZ32" s="50">
        <v>0</v>
      </c>
      <c r="GA32" s="470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0"/>
      <c r="GG32" s="50">
        <v>84.900000000002365</v>
      </c>
      <c r="GH32" s="50">
        <v>0</v>
      </c>
      <c r="GI32" s="50">
        <v>0</v>
      </c>
      <c r="GJ32" s="50">
        <v>0</v>
      </c>
      <c r="GK32" s="470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0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0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2015</v>
      </c>
      <c r="B33" s="46">
        <f t="shared" si="0"/>
        <v>38175.075000000172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0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0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0"/>
      <c r="S33" s="458">
        <v>0</v>
      </c>
      <c r="T33" s="50">
        <v>61.300000000000068</v>
      </c>
      <c r="U33" s="508">
        <v>191.8499999999998</v>
      </c>
      <c r="V33" s="50">
        <f>'Punten per wedstrijd'!F32</f>
        <v>256.39999999999986</v>
      </c>
      <c r="W33" s="470"/>
      <c r="X33" s="50">
        <v>0</v>
      </c>
      <c r="Y33" s="50">
        <v>334.04999999999973</v>
      </c>
      <c r="Z33" s="50">
        <v>135</v>
      </c>
      <c r="AA33" s="50">
        <v>236.80000000000018</v>
      </c>
      <c r="AB33" s="470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70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0"/>
      <c r="AM33" s="458">
        <v>0</v>
      </c>
      <c r="AN33" s="458">
        <v>284.5</v>
      </c>
      <c r="AO33" s="458">
        <v>218.55000000000041</v>
      </c>
      <c r="AP33" s="50">
        <v>429.39999999999964</v>
      </c>
      <c r="AQ33" s="470"/>
      <c r="AR33" s="50">
        <v>0</v>
      </c>
      <c r="AS33" s="50">
        <v>87.25</v>
      </c>
      <c r="AT33" s="50">
        <v>0</v>
      </c>
      <c r="AU33" s="50">
        <v>218</v>
      </c>
      <c r="AV33" s="470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70"/>
      <c r="BB33" s="50">
        <v>0</v>
      </c>
      <c r="BC33" s="50">
        <v>102</v>
      </c>
      <c r="BD33" s="50">
        <v>150.30000000000007</v>
      </c>
      <c r="BE33" s="50">
        <v>490.15</v>
      </c>
      <c r="BF33" s="470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70"/>
      <c r="BL33" s="50">
        <v>0</v>
      </c>
      <c r="BM33" s="50">
        <v>41.75</v>
      </c>
      <c r="BN33" s="50">
        <v>128.625</v>
      </c>
      <c r="BO33" s="518">
        <v>144.9</v>
      </c>
      <c r="BP33" s="470"/>
      <c r="BQ33" s="50">
        <v>0</v>
      </c>
      <c r="BR33" s="50">
        <v>159.25</v>
      </c>
      <c r="BS33" s="50">
        <v>143.77500000000055</v>
      </c>
      <c r="BT33" s="518">
        <v>398.60000000000127</v>
      </c>
      <c r="BU33" s="470"/>
      <c r="BV33" s="50">
        <v>0</v>
      </c>
      <c r="BW33" s="50">
        <v>0</v>
      </c>
      <c r="BX33" s="50">
        <v>631.79999999999973</v>
      </c>
      <c r="BY33" s="50">
        <v>504.90000000000055</v>
      </c>
      <c r="BZ33" s="470"/>
      <c r="CA33" s="50">
        <v>0</v>
      </c>
      <c r="CB33" s="50">
        <v>0</v>
      </c>
      <c r="CC33" s="50">
        <v>144.30000000000655</v>
      </c>
      <c r="CD33" s="50">
        <v>148.40000000000055</v>
      </c>
      <c r="CE33" s="470"/>
      <c r="CF33" s="50">
        <v>0</v>
      </c>
      <c r="CG33" s="50">
        <v>0</v>
      </c>
      <c r="CH33" s="50">
        <v>251.99999999999932</v>
      </c>
      <c r="CI33" s="50">
        <v>263.19999999999982</v>
      </c>
      <c r="CJ33" s="470"/>
      <c r="CK33" s="50">
        <v>0</v>
      </c>
      <c r="CL33" s="50">
        <v>0</v>
      </c>
      <c r="CM33" s="50">
        <v>339.97499999999945</v>
      </c>
      <c r="CN33" s="50">
        <v>200.89999999999964</v>
      </c>
      <c r="CO33" s="470"/>
      <c r="CP33" s="50">
        <v>0</v>
      </c>
      <c r="CQ33" s="50">
        <v>0</v>
      </c>
      <c r="CR33" s="50">
        <v>451.875</v>
      </c>
      <c r="CS33" s="50">
        <v>321.00000000000091</v>
      </c>
      <c r="CT33" s="470"/>
      <c r="CU33" s="50">
        <v>0</v>
      </c>
      <c r="CV33" s="50">
        <v>0</v>
      </c>
      <c r="CW33" s="50">
        <v>340.72499999999809</v>
      </c>
      <c r="CX33" s="50">
        <v>217.10000000000127</v>
      </c>
      <c r="CY33" s="470"/>
      <c r="CZ33" s="50">
        <v>0</v>
      </c>
      <c r="DA33" s="50">
        <v>0</v>
      </c>
      <c r="DB33" s="50">
        <v>227.775000000006</v>
      </c>
      <c r="DC33" s="50">
        <v>91.200000000000728</v>
      </c>
      <c r="DD33" s="470"/>
      <c r="DE33" s="50">
        <v>0</v>
      </c>
      <c r="DF33" s="50">
        <v>0</v>
      </c>
      <c r="DG33" s="50">
        <v>2095.2749999999992</v>
      </c>
      <c r="DH33" s="50">
        <v>1254.9000000000001</v>
      </c>
      <c r="DI33" s="470"/>
      <c r="DJ33" s="50">
        <v>0</v>
      </c>
      <c r="DK33" s="50">
        <v>0</v>
      </c>
      <c r="DL33" s="50">
        <v>0</v>
      </c>
      <c r="DM33" s="50">
        <v>0</v>
      </c>
      <c r="DN33" s="470"/>
      <c r="DO33" s="50">
        <v>0</v>
      </c>
      <c r="DP33" s="50">
        <v>0</v>
      </c>
      <c r="DQ33" s="50">
        <v>217.05000000000109</v>
      </c>
      <c r="DR33" s="50">
        <v>610.90000000000146</v>
      </c>
      <c r="DS33" s="470"/>
      <c r="DT33" s="50">
        <v>0</v>
      </c>
      <c r="DU33" s="50">
        <v>0</v>
      </c>
      <c r="DV33" s="50">
        <v>448.27500000000191</v>
      </c>
      <c r="DW33" s="50">
        <v>380.90000000000146</v>
      </c>
      <c r="DX33" s="470"/>
      <c r="DY33" s="50">
        <v>0</v>
      </c>
      <c r="DZ33" s="50">
        <v>0</v>
      </c>
      <c r="EA33" s="50">
        <v>2672.7000000000439</v>
      </c>
      <c r="EB33" s="50">
        <v>3990.3999999999851</v>
      </c>
      <c r="EC33" s="470"/>
      <c r="ED33" s="50">
        <v>0</v>
      </c>
      <c r="EE33" s="50">
        <v>0</v>
      </c>
      <c r="EF33" s="50">
        <v>0</v>
      </c>
      <c r="EG33" s="50">
        <v>0</v>
      </c>
      <c r="EH33" s="470"/>
      <c r="EI33" s="50">
        <v>0</v>
      </c>
      <c r="EJ33" s="50">
        <v>0</v>
      </c>
      <c r="EK33" s="50">
        <v>239.69999999999345</v>
      </c>
      <c r="EL33" s="50">
        <v>398.79999999999563</v>
      </c>
      <c r="EM33" s="470"/>
      <c r="EN33" s="50">
        <v>0</v>
      </c>
      <c r="EO33" s="50">
        <v>0</v>
      </c>
      <c r="EP33" s="50">
        <v>221.99999999999727</v>
      </c>
      <c r="EQ33" s="50">
        <v>213.19999999999709</v>
      </c>
      <c r="ER33" s="470"/>
      <c r="ES33" s="50">
        <v>0</v>
      </c>
      <c r="ET33" s="50">
        <v>0</v>
      </c>
      <c r="EU33" s="50">
        <v>109.87499999999727</v>
      </c>
      <c r="EV33" s="50">
        <v>0</v>
      </c>
      <c r="EW33" s="470"/>
      <c r="EX33" s="50">
        <v>0</v>
      </c>
      <c r="EY33" s="50">
        <v>0</v>
      </c>
      <c r="EZ33" s="50">
        <v>0</v>
      </c>
      <c r="FA33" s="50">
        <v>261.49999999999454</v>
      </c>
      <c r="FB33" s="470"/>
      <c r="FC33" s="50">
        <v>0</v>
      </c>
      <c r="FD33" s="50">
        <v>0</v>
      </c>
      <c r="FE33" s="50">
        <v>1818.0000000001337</v>
      </c>
      <c r="FF33" s="50">
        <v>2821.2000000000007</v>
      </c>
      <c r="FG33" s="470"/>
      <c r="FH33" s="50">
        <v>0</v>
      </c>
      <c r="FI33" s="50">
        <v>0</v>
      </c>
      <c r="FJ33" s="50">
        <v>197.47499999999673</v>
      </c>
      <c r="FK33" s="50">
        <v>221.59999999999491</v>
      </c>
      <c r="FL33" s="470"/>
      <c r="FM33" s="50">
        <v>0</v>
      </c>
      <c r="FN33" s="50">
        <v>0</v>
      </c>
      <c r="FO33" s="50">
        <v>0</v>
      </c>
      <c r="FP33" s="50">
        <v>489.19999999999345</v>
      </c>
      <c r="FQ33" s="470"/>
      <c r="FR33" s="50">
        <v>0</v>
      </c>
      <c r="FS33" s="50">
        <v>0</v>
      </c>
      <c r="FT33" s="50">
        <v>0</v>
      </c>
      <c r="FU33" s="50">
        <v>485.89999999999054</v>
      </c>
      <c r="FV33" s="470"/>
      <c r="FW33" s="50">
        <v>0</v>
      </c>
      <c r="FX33" s="50">
        <v>0</v>
      </c>
      <c r="FY33" s="50">
        <v>0</v>
      </c>
      <c r="FZ33" s="50">
        <v>0</v>
      </c>
      <c r="GA33" s="470"/>
      <c r="GB33" s="50">
        <v>0</v>
      </c>
      <c r="GC33" s="50">
        <v>0</v>
      </c>
      <c r="GD33" s="50">
        <v>318.18750000000273</v>
      </c>
      <c r="GE33" s="50">
        <v>290.60000000000218</v>
      </c>
      <c r="GF33" s="470"/>
      <c r="GG33" s="50">
        <v>0</v>
      </c>
      <c r="GH33" s="50">
        <v>0</v>
      </c>
      <c r="GI33" s="50">
        <v>0</v>
      </c>
      <c r="GJ33" s="50">
        <v>0</v>
      </c>
      <c r="GK33" s="470"/>
      <c r="GL33" s="50">
        <v>0</v>
      </c>
      <c r="GM33" s="50">
        <v>0</v>
      </c>
      <c r="GN33" s="50">
        <v>783.37500000001091</v>
      </c>
      <c r="GO33" s="50">
        <v>1127.9000000000051</v>
      </c>
      <c r="GP33" s="470"/>
      <c r="GQ33" s="50">
        <v>0</v>
      </c>
      <c r="GR33" s="50">
        <v>0</v>
      </c>
      <c r="GS33" s="50">
        <v>211.31250000000546</v>
      </c>
      <c r="GT33" s="50">
        <v>201.5</v>
      </c>
      <c r="GU33" s="470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3387</v>
      </c>
      <c r="B34" s="46">
        <f t="shared" si="0"/>
        <v>5767.55</v>
      </c>
      <c r="C34" s="42"/>
      <c r="D34" s="50">
        <v>0</v>
      </c>
      <c r="E34" s="495">
        <v>0</v>
      </c>
      <c r="F34" s="50">
        <v>0</v>
      </c>
      <c r="G34" s="50">
        <f>'Punten per wedstrijd'!E137</f>
        <v>205.5</v>
      </c>
      <c r="H34" s="470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0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0"/>
      <c r="S34" s="458">
        <v>0</v>
      </c>
      <c r="T34" s="50">
        <v>0</v>
      </c>
      <c r="U34" s="508">
        <v>0</v>
      </c>
      <c r="V34" s="50">
        <f>'Punten per wedstrijd'!F33</f>
        <v>317.99999999999977</v>
      </c>
      <c r="W34" s="470"/>
      <c r="X34" s="50">
        <v>0</v>
      </c>
      <c r="Y34" s="50">
        <v>0</v>
      </c>
      <c r="Z34" s="50">
        <v>0</v>
      </c>
      <c r="AA34" s="50">
        <v>292.49999999999955</v>
      </c>
      <c r="AB34" s="470"/>
      <c r="AC34" s="50">
        <v>0</v>
      </c>
      <c r="AD34" s="50">
        <v>0</v>
      </c>
      <c r="AE34" s="50">
        <v>0</v>
      </c>
      <c r="AF34" s="50">
        <v>556.80000000000018</v>
      </c>
      <c r="AG34" s="470"/>
      <c r="AH34" s="50">
        <v>0</v>
      </c>
      <c r="AI34" s="50">
        <v>0</v>
      </c>
      <c r="AJ34" s="50">
        <v>0</v>
      </c>
      <c r="AK34" s="50">
        <v>572.25</v>
      </c>
      <c r="AL34" s="470"/>
      <c r="AM34" s="458">
        <v>0</v>
      </c>
      <c r="AN34" s="458">
        <v>0</v>
      </c>
      <c r="AO34" s="458">
        <v>0</v>
      </c>
      <c r="AP34" s="50">
        <v>481.05000000000018</v>
      </c>
      <c r="AQ34" s="470"/>
      <c r="AR34" s="50">
        <v>0</v>
      </c>
      <c r="AS34" s="50">
        <v>0</v>
      </c>
      <c r="AT34" s="50">
        <v>0</v>
      </c>
      <c r="AU34" s="50">
        <v>179.89999999999998</v>
      </c>
      <c r="AV34" s="470"/>
      <c r="AW34" s="50">
        <v>0</v>
      </c>
      <c r="AX34" s="50">
        <v>0</v>
      </c>
      <c r="AY34" s="50">
        <v>0</v>
      </c>
      <c r="AZ34" s="50">
        <v>907.19999999999982</v>
      </c>
      <c r="BA34" s="470"/>
      <c r="BB34" s="495">
        <v>0</v>
      </c>
      <c r="BC34" s="50">
        <v>0</v>
      </c>
      <c r="BD34" s="50">
        <v>0</v>
      </c>
      <c r="BE34" s="50">
        <v>521.5</v>
      </c>
      <c r="BF34" s="470"/>
      <c r="BG34" s="50">
        <v>0</v>
      </c>
      <c r="BH34" s="50">
        <v>0</v>
      </c>
      <c r="BI34" s="50">
        <v>0</v>
      </c>
      <c r="BJ34" s="50">
        <v>210.5</v>
      </c>
      <c r="BK34" s="470"/>
      <c r="BL34" s="50">
        <v>0</v>
      </c>
      <c r="BM34" s="50">
        <v>0</v>
      </c>
      <c r="BN34" s="50">
        <v>0</v>
      </c>
      <c r="BO34" s="518">
        <v>82.5</v>
      </c>
      <c r="BP34" s="470"/>
      <c r="BQ34" s="50">
        <v>0</v>
      </c>
      <c r="BR34" s="50">
        <v>0</v>
      </c>
      <c r="BS34" s="50">
        <v>0</v>
      </c>
      <c r="BT34" s="518">
        <v>531.05000000000018</v>
      </c>
      <c r="BU34" s="470"/>
      <c r="BV34" s="50"/>
      <c r="BW34" s="50"/>
      <c r="BX34" s="50"/>
      <c r="BY34" s="50"/>
      <c r="BZ34" s="470"/>
      <c r="CA34" s="50"/>
      <c r="CB34" s="50"/>
      <c r="CC34" s="50"/>
      <c r="CD34" s="50"/>
      <c r="CE34" s="470"/>
      <c r="CF34" s="50"/>
      <c r="CG34" s="50"/>
      <c r="CH34" s="50"/>
      <c r="CI34" s="50"/>
      <c r="CJ34" s="470"/>
      <c r="CK34" s="50"/>
      <c r="CL34" s="50"/>
      <c r="CM34" s="50"/>
      <c r="CN34" s="50"/>
      <c r="CO34" s="470"/>
      <c r="CP34" s="50"/>
      <c r="CQ34" s="50"/>
      <c r="CR34" s="50"/>
      <c r="CS34" s="50"/>
      <c r="CT34" s="470"/>
      <c r="CU34" s="50"/>
      <c r="CV34" s="50"/>
      <c r="CW34" s="50"/>
      <c r="CX34" s="50"/>
      <c r="CY34" s="470"/>
      <c r="CZ34" s="50"/>
      <c r="DA34" s="50"/>
      <c r="DB34" s="50"/>
      <c r="DC34" s="50"/>
      <c r="DD34" s="470"/>
      <c r="DE34" s="50"/>
      <c r="DF34" s="50"/>
      <c r="DG34" s="50"/>
      <c r="DH34" s="50"/>
      <c r="DI34" s="470"/>
      <c r="DJ34" s="50"/>
      <c r="DK34" s="50"/>
      <c r="DL34" s="50"/>
      <c r="DM34" s="50"/>
      <c r="DN34" s="470"/>
      <c r="DO34" s="50"/>
      <c r="DP34" s="50"/>
      <c r="DQ34" s="50"/>
      <c r="DR34" s="50"/>
      <c r="DS34" s="470"/>
      <c r="DT34" s="50"/>
      <c r="DU34" s="50"/>
      <c r="DV34" s="50"/>
      <c r="DW34" s="50"/>
      <c r="DX34" s="470"/>
      <c r="DY34" s="50"/>
      <c r="DZ34" s="50"/>
      <c r="EA34" s="50"/>
      <c r="EB34" s="50"/>
      <c r="EC34" s="470"/>
      <c r="ED34" s="50"/>
      <c r="EE34" s="50"/>
      <c r="EF34" s="50"/>
      <c r="EG34" s="50"/>
      <c r="EH34" s="470"/>
      <c r="EI34" s="50"/>
      <c r="EJ34" s="50"/>
      <c r="EK34" s="50"/>
      <c r="EL34" s="50"/>
      <c r="EM34" s="470"/>
      <c r="EN34" s="50"/>
      <c r="EO34" s="50"/>
      <c r="EP34" s="50"/>
      <c r="EQ34" s="50"/>
      <c r="ER34" s="470"/>
      <c r="ES34" s="50"/>
      <c r="ET34" s="50"/>
      <c r="EU34" s="50"/>
      <c r="EV34" s="50"/>
      <c r="EW34" s="470"/>
      <c r="EX34" s="50"/>
      <c r="EY34" s="50"/>
      <c r="EZ34" s="50"/>
      <c r="FA34" s="50"/>
      <c r="FB34" s="470"/>
      <c r="FC34" s="50"/>
      <c r="FD34" s="50"/>
      <c r="FE34" s="50"/>
      <c r="FF34" s="50"/>
      <c r="FG34" s="470"/>
      <c r="FH34" s="50"/>
      <c r="FI34" s="50"/>
      <c r="FJ34" s="50"/>
      <c r="FK34" s="50"/>
      <c r="FL34" s="470"/>
      <c r="FM34" s="50"/>
      <c r="FN34" s="50"/>
      <c r="FO34" s="50"/>
      <c r="FP34" s="50"/>
      <c r="FQ34" s="470"/>
      <c r="FR34" s="50"/>
      <c r="FS34" s="50"/>
      <c r="FT34" s="50"/>
      <c r="FU34" s="50"/>
      <c r="FV34" s="470"/>
      <c r="FW34" s="50"/>
      <c r="FX34" s="50"/>
      <c r="FY34" s="50"/>
      <c r="FZ34" s="50"/>
      <c r="GA34" s="470"/>
      <c r="GB34" s="50"/>
      <c r="GC34" s="50"/>
      <c r="GD34" s="50"/>
      <c r="GE34" s="50"/>
      <c r="GF34" s="470"/>
      <c r="GG34" s="50"/>
      <c r="GH34" s="50"/>
      <c r="GI34" s="50"/>
      <c r="GJ34" s="50"/>
      <c r="GK34" s="470"/>
      <c r="GL34" s="50"/>
      <c r="GM34" s="50"/>
      <c r="GN34" s="50"/>
      <c r="GO34" s="50"/>
      <c r="GP34" s="470"/>
      <c r="GQ34" s="50"/>
      <c r="GR34" s="50"/>
      <c r="GS34" s="50"/>
      <c r="GT34" s="50"/>
      <c r="GU34" s="470"/>
      <c r="GZ34" s="21"/>
      <c r="HA34" s="37"/>
      <c r="HI34" s="463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56922.612499999857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0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0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0"/>
      <c r="S35" s="458">
        <v>42.5</v>
      </c>
      <c r="T35" s="50">
        <v>72.89999999999992</v>
      </c>
      <c r="U35" s="508">
        <v>189.37499999999966</v>
      </c>
      <c r="V35" s="50">
        <f>'Punten per wedstrijd'!F34</f>
        <v>165.40000000000009</v>
      </c>
      <c r="W35" s="470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0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70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0"/>
      <c r="AM35" s="458">
        <v>70.274999999999864</v>
      </c>
      <c r="AN35" s="458">
        <v>217.25000000000068</v>
      </c>
      <c r="AO35" s="458">
        <v>195.41250000000014</v>
      </c>
      <c r="AP35" s="50">
        <v>437.79999999999927</v>
      </c>
      <c r="AQ35" s="470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70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70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70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70"/>
      <c r="BL35" s="50">
        <v>0</v>
      </c>
      <c r="BM35" s="50">
        <v>8.4500000000002728</v>
      </c>
      <c r="BN35" s="50">
        <v>135</v>
      </c>
      <c r="BO35" s="518">
        <v>206.8</v>
      </c>
      <c r="BP35" s="470"/>
      <c r="BQ35" s="50">
        <v>16.375</v>
      </c>
      <c r="BR35" s="50">
        <v>173.45000000000027</v>
      </c>
      <c r="BS35" s="50">
        <v>108</v>
      </c>
      <c r="BT35" s="518">
        <v>467.70000000000164</v>
      </c>
      <c r="BU35" s="470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0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0"/>
      <c r="CF35" s="50">
        <v>116.75</v>
      </c>
      <c r="CG35" s="50">
        <v>0</v>
      </c>
      <c r="CH35" s="50">
        <v>370.57500000000027</v>
      </c>
      <c r="CI35" s="50">
        <v>45</v>
      </c>
      <c r="CJ35" s="470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0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0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0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0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0"/>
      <c r="DJ35" s="50">
        <v>52.649999999999181</v>
      </c>
      <c r="DK35" s="50">
        <v>0</v>
      </c>
      <c r="DL35" s="50">
        <v>0</v>
      </c>
      <c r="DM35" s="50">
        <v>0</v>
      </c>
      <c r="DN35" s="470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0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0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0"/>
      <c r="ED35" s="50">
        <v>4.9499999999998181</v>
      </c>
      <c r="EE35" s="50">
        <v>0</v>
      </c>
      <c r="EF35" s="50">
        <v>0</v>
      </c>
      <c r="EG35" s="50">
        <v>0</v>
      </c>
      <c r="EH35" s="470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0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0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0"/>
      <c r="EX35" s="50">
        <v>46.125</v>
      </c>
      <c r="EY35" s="50">
        <v>0</v>
      </c>
      <c r="EZ35" s="50">
        <v>0</v>
      </c>
      <c r="FA35" s="50">
        <v>261</v>
      </c>
      <c r="FB35" s="470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0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0"/>
      <c r="FM35" s="50">
        <v>105.07500000000073</v>
      </c>
      <c r="FN35" s="50">
        <v>0</v>
      </c>
      <c r="FO35" s="50">
        <v>0</v>
      </c>
      <c r="FP35" s="50">
        <v>338.64999999999418</v>
      </c>
      <c r="FQ35" s="470"/>
      <c r="FR35" s="50">
        <v>104.35000000000036</v>
      </c>
      <c r="FS35" s="50">
        <v>0</v>
      </c>
      <c r="FT35" s="50">
        <v>0</v>
      </c>
      <c r="FU35" s="50">
        <v>411.29999999999927</v>
      </c>
      <c r="FV35" s="470"/>
      <c r="FW35" s="50">
        <v>22.074999999999818</v>
      </c>
      <c r="FX35" s="50">
        <v>0</v>
      </c>
      <c r="FY35" s="50">
        <v>0</v>
      </c>
      <c r="FZ35" s="50">
        <v>0</v>
      </c>
      <c r="GA35" s="470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0"/>
      <c r="GG35" s="50">
        <v>132.54999999999745</v>
      </c>
      <c r="GH35" s="50">
        <v>0</v>
      </c>
      <c r="GI35" s="50">
        <v>0</v>
      </c>
      <c r="GJ35" s="50">
        <v>0</v>
      </c>
      <c r="GK35" s="470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0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0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46449.037500000028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0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0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0"/>
      <c r="S36" s="458">
        <v>9.4499999999999318</v>
      </c>
      <c r="T36" s="50">
        <v>0</v>
      </c>
      <c r="U36" s="508">
        <v>187.27500000000003</v>
      </c>
      <c r="V36" s="50">
        <f>'Punten per wedstrijd'!F35</f>
        <v>290.59999999999991</v>
      </c>
      <c r="W36" s="470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0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70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0"/>
      <c r="AM36" s="458">
        <v>93.149999999999977</v>
      </c>
      <c r="AN36" s="458">
        <v>236.17499999999973</v>
      </c>
      <c r="AO36" s="458">
        <v>317.21249999999986</v>
      </c>
      <c r="AP36" s="50">
        <v>537.5</v>
      </c>
      <c r="AQ36" s="470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70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70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70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70"/>
      <c r="BL36" s="50">
        <v>0</v>
      </c>
      <c r="BM36" s="50">
        <v>38.750000000000455</v>
      </c>
      <c r="BN36" s="50">
        <v>315.90000000000055</v>
      </c>
      <c r="BO36" s="518">
        <v>120.3</v>
      </c>
      <c r="BP36" s="470"/>
      <c r="BQ36" s="50">
        <v>78.875000000001364</v>
      </c>
      <c r="BR36" s="50">
        <v>171.62500000000045</v>
      </c>
      <c r="BS36" s="50">
        <v>305.92500000000041</v>
      </c>
      <c r="BT36" s="518">
        <v>565.10000000000127</v>
      </c>
      <c r="BU36" s="470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0"/>
      <c r="CA36" s="50">
        <v>88.824999999998909</v>
      </c>
      <c r="CB36" s="50">
        <v>0</v>
      </c>
      <c r="CC36" s="50">
        <v>249</v>
      </c>
      <c r="CD36" s="50">
        <v>319</v>
      </c>
      <c r="CE36" s="470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0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0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0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0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0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0"/>
      <c r="DJ36" s="50">
        <v>20.949999999998909</v>
      </c>
      <c r="DK36" s="50">
        <v>0</v>
      </c>
      <c r="DL36" s="50">
        <v>0</v>
      </c>
      <c r="DM36" s="50">
        <v>0</v>
      </c>
      <c r="DN36" s="470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0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0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0"/>
      <c r="ED36" s="50">
        <v>112.62499999999909</v>
      </c>
      <c r="EE36" s="50">
        <v>0</v>
      </c>
      <c r="EF36" s="50">
        <v>0</v>
      </c>
      <c r="EG36" s="50">
        <v>0</v>
      </c>
      <c r="EH36" s="470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0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0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0"/>
      <c r="EX36" s="50">
        <v>138.49999999999818</v>
      </c>
      <c r="EY36" s="50">
        <v>0</v>
      </c>
      <c r="EZ36" s="50">
        <v>0</v>
      </c>
      <c r="FA36" s="50">
        <v>165.00000000000364</v>
      </c>
      <c r="FB36" s="470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0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0"/>
      <c r="FM36" s="50">
        <v>70.875000000000909</v>
      </c>
      <c r="FN36" s="50">
        <v>0</v>
      </c>
      <c r="FO36" s="50">
        <v>0</v>
      </c>
      <c r="FP36" s="50">
        <v>470.44999999999345</v>
      </c>
      <c r="FQ36" s="470"/>
      <c r="FR36" s="50">
        <v>32.050000000000182</v>
      </c>
      <c r="FS36" s="50">
        <v>0</v>
      </c>
      <c r="FT36" s="50">
        <v>0</v>
      </c>
      <c r="FU36" s="50">
        <v>469.39999999999782</v>
      </c>
      <c r="FV36" s="470"/>
      <c r="FW36" s="50">
        <v>41.474999999999</v>
      </c>
      <c r="FX36" s="50">
        <v>0</v>
      </c>
      <c r="FY36" s="50">
        <v>0</v>
      </c>
      <c r="FZ36" s="50">
        <v>0</v>
      </c>
      <c r="GA36" s="470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0"/>
      <c r="GG36" s="50">
        <v>53.500000000001819</v>
      </c>
      <c r="GH36" s="50">
        <v>0</v>
      </c>
      <c r="GI36" s="50">
        <v>0</v>
      </c>
      <c r="GJ36" s="50">
        <v>0</v>
      </c>
      <c r="GK36" s="470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0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0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49106.800000000097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0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0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0"/>
      <c r="S37" s="458">
        <v>10.5</v>
      </c>
      <c r="T37" s="50">
        <v>88.799999999999841</v>
      </c>
      <c r="U37" s="508">
        <v>215.62499999999966</v>
      </c>
      <c r="V37" s="50">
        <f>'Punten per wedstrijd'!F36</f>
        <v>271.50000000000045</v>
      </c>
      <c r="W37" s="470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0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70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0"/>
      <c r="AM37" s="458">
        <v>52.799999999999841</v>
      </c>
      <c r="AN37" s="458">
        <v>215.50000000000023</v>
      </c>
      <c r="AO37" s="458">
        <v>305.625</v>
      </c>
      <c r="AP37" s="50">
        <v>584.29999999999973</v>
      </c>
      <c r="AQ37" s="470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70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70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70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70"/>
      <c r="BL37" s="50">
        <v>0</v>
      </c>
      <c r="BM37" s="50">
        <v>75.699999999999818</v>
      </c>
      <c r="BN37" s="50">
        <v>164.47499999999945</v>
      </c>
      <c r="BO37" s="518">
        <v>316.79999999999995</v>
      </c>
      <c r="BP37" s="470"/>
      <c r="BQ37" s="50">
        <v>77.475000000000819</v>
      </c>
      <c r="BR37" s="50">
        <v>125</v>
      </c>
      <c r="BS37" s="50">
        <v>196.57499999999959</v>
      </c>
      <c r="BT37" s="518">
        <v>630.00000000000182</v>
      </c>
      <c r="BU37" s="470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0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0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0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0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0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0"/>
      <c r="CZ37" s="50">
        <v>16.200000000001182</v>
      </c>
      <c r="DA37" s="50">
        <v>0</v>
      </c>
      <c r="DB37" s="50">
        <v>0</v>
      </c>
      <c r="DC37" s="50">
        <v>210.00000000000182</v>
      </c>
      <c r="DD37" s="470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0"/>
      <c r="DJ37" s="50">
        <v>52.449999999999818</v>
      </c>
      <c r="DK37" s="50">
        <v>0</v>
      </c>
      <c r="DL37" s="50">
        <v>0</v>
      </c>
      <c r="DM37" s="50">
        <v>0</v>
      </c>
      <c r="DN37" s="470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0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0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0"/>
      <c r="ED37" s="50">
        <v>12.375000000000909</v>
      </c>
      <c r="EE37" s="50">
        <v>0</v>
      </c>
      <c r="EF37" s="50">
        <v>0</v>
      </c>
      <c r="EG37" s="50">
        <v>0</v>
      </c>
      <c r="EH37" s="470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0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0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0"/>
      <c r="EX37" s="50">
        <v>38.5</v>
      </c>
      <c r="EY37" s="50">
        <v>0</v>
      </c>
      <c r="EZ37" s="50">
        <v>0</v>
      </c>
      <c r="FA37" s="50">
        <v>346.40000000000873</v>
      </c>
      <c r="FB37" s="470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0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0"/>
      <c r="FM37" s="50">
        <v>59.300000000000182</v>
      </c>
      <c r="FN37" s="50">
        <v>0</v>
      </c>
      <c r="FO37" s="50">
        <v>0</v>
      </c>
      <c r="FP37" s="50">
        <v>120.90000000001237</v>
      </c>
      <c r="FQ37" s="470"/>
      <c r="FR37" s="50">
        <v>61.199999999998909</v>
      </c>
      <c r="FS37" s="50">
        <v>0</v>
      </c>
      <c r="FT37" s="50">
        <v>0</v>
      </c>
      <c r="FU37" s="50">
        <v>437.00000000001091</v>
      </c>
      <c r="FV37" s="470"/>
      <c r="FW37" s="50">
        <v>46.900000000000773</v>
      </c>
      <c r="FX37" s="50">
        <v>0</v>
      </c>
      <c r="FY37" s="50">
        <v>0</v>
      </c>
      <c r="FZ37" s="50">
        <v>0</v>
      </c>
      <c r="GA37" s="470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0"/>
      <c r="GG37" s="50">
        <v>61.475000000000364</v>
      </c>
      <c r="GH37" s="50">
        <v>0</v>
      </c>
      <c r="GI37" s="50">
        <v>0</v>
      </c>
      <c r="GJ37" s="50">
        <v>0</v>
      </c>
      <c r="GK37" s="470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0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0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52130.312499999658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0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0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0"/>
      <c r="S38" s="458">
        <v>0</v>
      </c>
      <c r="T38" s="50">
        <v>72.499999999999886</v>
      </c>
      <c r="U38" s="508">
        <v>209.40000000000038</v>
      </c>
      <c r="V38" s="50">
        <f>'Punten per wedstrijd'!F37</f>
        <v>240.70000000000005</v>
      </c>
      <c r="W38" s="470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0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70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0"/>
      <c r="AM38" s="458">
        <v>72.074999999999932</v>
      </c>
      <c r="AN38" s="458">
        <v>324.54999999999995</v>
      </c>
      <c r="AO38" s="458">
        <v>265.04999999999939</v>
      </c>
      <c r="AP38" s="50">
        <v>432.39999999999964</v>
      </c>
      <c r="AQ38" s="470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70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70"/>
      <c r="BB38" s="50">
        <v>0</v>
      </c>
      <c r="BC38" s="50">
        <v>157</v>
      </c>
      <c r="BD38" s="50">
        <v>189.22499999999809</v>
      </c>
      <c r="BE38" s="50">
        <v>354.7</v>
      </c>
      <c r="BF38" s="470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70"/>
      <c r="BL38" s="50">
        <v>0</v>
      </c>
      <c r="BM38" s="50">
        <v>124</v>
      </c>
      <c r="BN38" s="50">
        <v>143.625</v>
      </c>
      <c r="BO38" s="518">
        <v>210</v>
      </c>
      <c r="BP38" s="470"/>
      <c r="BQ38" s="50">
        <v>28.574999999998454</v>
      </c>
      <c r="BR38" s="50">
        <v>167.34999999999991</v>
      </c>
      <c r="BS38" s="50">
        <v>227.92499999999973</v>
      </c>
      <c r="BT38" s="518">
        <v>403.59999999999854</v>
      </c>
      <c r="BU38" s="470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0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0"/>
      <c r="CF38" s="50">
        <v>16.125</v>
      </c>
      <c r="CG38" s="50">
        <v>0</v>
      </c>
      <c r="CH38" s="50">
        <v>257.625</v>
      </c>
      <c r="CI38" s="50">
        <v>137.49999999999909</v>
      </c>
      <c r="CJ38" s="470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0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0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0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0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0"/>
      <c r="DJ38" s="50">
        <v>97.75</v>
      </c>
      <c r="DK38" s="50">
        <v>0</v>
      </c>
      <c r="DL38" s="50">
        <v>0</v>
      </c>
      <c r="DM38" s="50">
        <v>0</v>
      </c>
      <c r="DN38" s="470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0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0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0"/>
      <c r="ED38" s="50">
        <v>25.524999999998727</v>
      </c>
      <c r="EE38" s="50">
        <v>0</v>
      </c>
      <c r="EF38" s="50">
        <v>0</v>
      </c>
      <c r="EG38" s="50">
        <v>0</v>
      </c>
      <c r="EH38" s="470"/>
      <c r="EI38" s="50">
        <v>13.349999999999</v>
      </c>
      <c r="EJ38" s="50">
        <v>0</v>
      </c>
      <c r="EK38" s="50">
        <v>160.64999999999509</v>
      </c>
      <c r="EL38" s="50">
        <v>456</v>
      </c>
      <c r="EM38" s="470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0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0"/>
      <c r="EX38" s="50">
        <v>108.74999999999909</v>
      </c>
      <c r="EY38" s="50">
        <v>0</v>
      </c>
      <c r="EZ38" s="50">
        <v>0</v>
      </c>
      <c r="FA38" s="50">
        <v>162.40000000000509</v>
      </c>
      <c r="FB38" s="470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0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0"/>
      <c r="FM38" s="50">
        <v>70.5</v>
      </c>
      <c r="FN38" s="50">
        <v>0</v>
      </c>
      <c r="FO38" s="50">
        <v>0</v>
      </c>
      <c r="FP38" s="50">
        <v>229.700000000008</v>
      </c>
      <c r="FQ38" s="470"/>
      <c r="FR38" s="50">
        <v>6.5999999999994543</v>
      </c>
      <c r="FS38" s="50">
        <v>0</v>
      </c>
      <c r="FT38" s="50">
        <v>0</v>
      </c>
      <c r="FU38" s="50">
        <v>419.00000000000364</v>
      </c>
      <c r="FV38" s="470"/>
      <c r="FW38" s="50">
        <v>41.325000000000045</v>
      </c>
      <c r="FX38" s="50">
        <v>0</v>
      </c>
      <c r="FY38" s="50">
        <v>0</v>
      </c>
      <c r="FZ38" s="50">
        <v>0</v>
      </c>
      <c r="GA38" s="470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0"/>
      <c r="GG38" s="50">
        <v>14.5</v>
      </c>
      <c r="GH38" s="50">
        <v>0</v>
      </c>
      <c r="GI38" s="50">
        <v>0</v>
      </c>
      <c r="GJ38" s="50">
        <v>0</v>
      </c>
      <c r="GK38" s="470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0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0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3402</v>
      </c>
      <c r="B39" s="46">
        <f t="shared" si="1"/>
        <v>6457.1999999999989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0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0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0"/>
      <c r="S39" s="458">
        <v>0</v>
      </c>
      <c r="T39" s="50">
        <v>0</v>
      </c>
      <c r="U39" s="508">
        <v>0</v>
      </c>
      <c r="V39" s="50">
        <f>'Punten per wedstrijd'!F38</f>
        <v>286.70000000000073</v>
      </c>
      <c r="W39" s="470"/>
      <c r="X39" s="50">
        <v>0</v>
      </c>
      <c r="Y39" s="50">
        <v>0</v>
      </c>
      <c r="Z39" s="50">
        <v>0</v>
      </c>
      <c r="AA39" s="50">
        <v>205.20000000000027</v>
      </c>
      <c r="AB39" s="470"/>
      <c r="AC39" s="50">
        <v>0</v>
      </c>
      <c r="AD39" s="50">
        <v>0</v>
      </c>
      <c r="AE39" s="50">
        <v>0</v>
      </c>
      <c r="AF39" s="50">
        <v>941.70000000000027</v>
      </c>
      <c r="AG39" s="470"/>
      <c r="AH39" s="50">
        <v>0</v>
      </c>
      <c r="AI39" s="50">
        <v>0</v>
      </c>
      <c r="AJ39" s="50">
        <v>0</v>
      </c>
      <c r="AK39" s="50">
        <v>726.69999999999936</v>
      </c>
      <c r="AL39" s="470"/>
      <c r="AM39" s="458">
        <v>0</v>
      </c>
      <c r="AN39" s="458">
        <v>0</v>
      </c>
      <c r="AO39" s="458">
        <v>0</v>
      </c>
      <c r="AP39" s="50">
        <v>664.19999999999982</v>
      </c>
      <c r="AQ39" s="470"/>
      <c r="AR39" s="50">
        <v>0</v>
      </c>
      <c r="AS39" s="50">
        <v>0</v>
      </c>
      <c r="AT39" s="50">
        <v>0</v>
      </c>
      <c r="AU39" s="50">
        <v>236</v>
      </c>
      <c r="AV39" s="470"/>
      <c r="AW39" s="50">
        <v>0</v>
      </c>
      <c r="AX39" s="50">
        <v>0</v>
      </c>
      <c r="AY39" s="50">
        <v>0</v>
      </c>
      <c r="AZ39" s="50">
        <v>933.09999999999945</v>
      </c>
      <c r="BA39" s="470"/>
      <c r="BB39" s="50">
        <v>0</v>
      </c>
      <c r="BC39" s="50">
        <v>0</v>
      </c>
      <c r="BD39" s="50">
        <v>0</v>
      </c>
      <c r="BE39" s="50">
        <v>495.4</v>
      </c>
      <c r="BF39" s="470"/>
      <c r="BG39" s="50">
        <v>0</v>
      </c>
      <c r="BH39" s="50">
        <v>0</v>
      </c>
      <c r="BI39" s="50">
        <v>0</v>
      </c>
      <c r="BJ39" s="50">
        <v>259.7</v>
      </c>
      <c r="BK39" s="470"/>
      <c r="BL39" s="50">
        <v>0</v>
      </c>
      <c r="BM39" s="50">
        <v>0</v>
      </c>
      <c r="BN39" s="50">
        <v>0</v>
      </c>
      <c r="BO39" s="518">
        <v>140.6</v>
      </c>
      <c r="BP39" s="470"/>
      <c r="BQ39" s="50">
        <v>0</v>
      </c>
      <c r="BR39" s="50">
        <v>0</v>
      </c>
      <c r="BS39" s="50">
        <v>0</v>
      </c>
      <c r="BT39" s="518">
        <v>581.49999999999909</v>
      </c>
      <c r="BU39" s="470"/>
      <c r="BV39" s="50"/>
      <c r="BW39" s="50"/>
      <c r="BX39" s="50"/>
      <c r="BY39" s="50"/>
      <c r="BZ39" s="470"/>
      <c r="CA39" s="50"/>
      <c r="CB39" s="50"/>
      <c r="CC39" s="50"/>
      <c r="CD39" s="50"/>
      <c r="CE39" s="470"/>
      <c r="CF39" s="50"/>
      <c r="CG39" s="50"/>
      <c r="CH39" s="50"/>
      <c r="CI39" s="50"/>
      <c r="CJ39" s="470"/>
      <c r="CK39" s="50"/>
      <c r="CL39" s="50"/>
      <c r="CM39" s="50"/>
      <c r="CN39" s="50"/>
      <c r="CO39" s="470"/>
      <c r="CP39" s="50"/>
      <c r="CQ39" s="50"/>
      <c r="CR39" s="50"/>
      <c r="CS39" s="50"/>
      <c r="CT39" s="470"/>
      <c r="CU39" s="50"/>
      <c r="CV39" s="50"/>
      <c r="CW39" s="50"/>
      <c r="CX39" s="50"/>
      <c r="CY39" s="470"/>
      <c r="CZ39" s="50"/>
      <c r="DA39" s="50"/>
      <c r="DB39" s="50"/>
      <c r="DC39" s="50"/>
      <c r="DD39" s="470"/>
      <c r="DE39" s="50"/>
      <c r="DF39" s="50"/>
      <c r="DG39" s="50"/>
      <c r="DH39" s="50"/>
      <c r="DI39" s="470"/>
      <c r="DJ39" s="50"/>
      <c r="DK39" s="50"/>
      <c r="DL39" s="50"/>
      <c r="DM39" s="50"/>
      <c r="DN39" s="470"/>
      <c r="DO39" s="50"/>
      <c r="DP39" s="50"/>
      <c r="DQ39" s="50"/>
      <c r="DR39" s="50"/>
      <c r="DS39" s="470"/>
      <c r="DT39" s="50"/>
      <c r="DU39" s="50"/>
      <c r="DV39" s="50"/>
      <c r="DW39" s="50"/>
      <c r="DX39" s="470"/>
      <c r="DY39" s="50"/>
      <c r="DZ39" s="50"/>
      <c r="EA39" s="50"/>
      <c r="EB39" s="50"/>
      <c r="EC39" s="470"/>
      <c r="ED39" s="50"/>
      <c r="EE39" s="50"/>
      <c r="EF39" s="50"/>
      <c r="EG39" s="50"/>
      <c r="EH39" s="470"/>
      <c r="EI39" s="50"/>
      <c r="EJ39" s="50"/>
      <c r="EK39" s="50"/>
      <c r="EL39" s="50"/>
      <c r="EM39" s="470"/>
      <c r="EN39" s="50"/>
      <c r="EO39" s="50"/>
      <c r="EP39" s="50"/>
      <c r="EQ39" s="50"/>
      <c r="ER39" s="470"/>
      <c r="ES39" s="50"/>
      <c r="ET39" s="50"/>
      <c r="EU39" s="50"/>
      <c r="EV39" s="50"/>
      <c r="EW39" s="470"/>
      <c r="EX39" s="50"/>
      <c r="EY39" s="50"/>
      <c r="EZ39" s="50"/>
      <c r="FA39" s="50"/>
      <c r="FB39" s="470"/>
      <c r="FC39" s="50"/>
      <c r="FD39" s="50"/>
      <c r="FE39" s="50"/>
      <c r="FF39" s="50"/>
      <c r="FG39" s="470"/>
      <c r="FH39" s="50"/>
      <c r="FI39" s="50"/>
      <c r="FJ39" s="50"/>
      <c r="FK39" s="50"/>
      <c r="FL39" s="470"/>
      <c r="FM39" s="50"/>
      <c r="FN39" s="50"/>
      <c r="FO39" s="50"/>
      <c r="FP39" s="50"/>
      <c r="FQ39" s="470"/>
      <c r="FR39" s="50"/>
      <c r="FS39" s="50"/>
      <c r="FT39" s="50"/>
      <c r="FU39" s="50"/>
      <c r="FV39" s="470"/>
      <c r="FW39" s="50"/>
      <c r="FX39" s="50"/>
      <c r="FY39" s="50"/>
      <c r="FZ39" s="50"/>
      <c r="GA39" s="470"/>
      <c r="GB39" s="50"/>
      <c r="GC39" s="50"/>
      <c r="GD39" s="50"/>
      <c r="GE39" s="50"/>
      <c r="GF39" s="470"/>
      <c r="GG39" s="50"/>
      <c r="GH39" s="50"/>
      <c r="GI39" s="50"/>
      <c r="GJ39" s="50"/>
      <c r="GK39" s="470"/>
      <c r="GL39" s="50"/>
      <c r="GM39" s="50"/>
      <c r="GN39" s="50"/>
      <c r="GO39" s="50"/>
      <c r="GP39" s="470"/>
      <c r="GQ39" s="50"/>
      <c r="GR39" s="50"/>
      <c r="GS39" s="50"/>
      <c r="GT39" s="50"/>
      <c r="GU39" s="470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2011</v>
      </c>
      <c r="B40" s="46">
        <f t="shared" si="1"/>
        <v>33459.562499999971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0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0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0"/>
      <c r="S40" s="458">
        <v>0</v>
      </c>
      <c r="T40" s="50">
        <v>122.5</v>
      </c>
      <c r="U40" s="508">
        <v>371.85000000000048</v>
      </c>
      <c r="V40" s="50">
        <f>'Punten per wedstrijd'!F39</f>
        <v>9.6000000000003638</v>
      </c>
      <c r="W40" s="470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0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70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0"/>
      <c r="AM40" s="458">
        <v>0</v>
      </c>
      <c r="AN40" s="458">
        <v>80.150000000000091</v>
      </c>
      <c r="AO40" s="458">
        <v>484.76250000000027</v>
      </c>
      <c r="AP40" s="50">
        <v>321.30000000000018</v>
      </c>
      <c r="AQ40" s="470"/>
      <c r="AR40" s="50">
        <v>0</v>
      </c>
      <c r="AS40" s="50">
        <v>84</v>
      </c>
      <c r="AT40" s="50">
        <v>374.10000000000014</v>
      </c>
      <c r="AU40" s="50">
        <v>16.5</v>
      </c>
      <c r="AV40" s="470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70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70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70"/>
      <c r="BL40" s="50">
        <v>0</v>
      </c>
      <c r="BM40" s="50">
        <v>100.49999999999909</v>
      </c>
      <c r="BN40" s="50">
        <v>334.42500000000041</v>
      </c>
      <c r="BO40" s="518">
        <v>112.5</v>
      </c>
      <c r="BP40" s="470"/>
      <c r="BQ40" s="50">
        <v>0</v>
      </c>
      <c r="BR40" s="50">
        <v>152.94999999999936</v>
      </c>
      <c r="BS40" s="50">
        <v>426.07500000000095</v>
      </c>
      <c r="BT40" s="518">
        <v>211.09999999999945</v>
      </c>
      <c r="BU40" s="470"/>
      <c r="BV40" s="50">
        <v>0</v>
      </c>
      <c r="BW40" s="50">
        <v>0</v>
      </c>
      <c r="BX40" s="50">
        <v>777.59999999999945</v>
      </c>
      <c r="BY40" s="50">
        <v>287.59999999999854</v>
      </c>
      <c r="BZ40" s="470"/>
      <c r="CA40" s="50">
        <v>0</v>
      </c>
      <c r="CB40" s="50">
        <v>0</v>
      </c>
      <c r="CC40" s="50">
        <v>123.00000000000273</v>
      </c>
      <c r="CD40" s="50">
        <v>584.89999999999964</v>
      </c>
      <c r="CE40" s="470"/>
      <c r="CF40" s="50">
        <v>0</v>
      </c>
      <c r="CG40" s="50">
        <v>0</v>
      </c>
      <c r="CH40" s="50">
        <v>261.74999999999864</v>
      </c>
      <c r="CI40" s="50">
        <v>550.79999999999927</v>
      </c>
      <c r="CJ40" s="470"/>
      <c r="CK40" s="50">
        <v>0</v>
      </c>
      <c r="CL40" s="50">
        <v>0</v>
      </c>
      <c r="CM40" s="50">
        <v>281.62499999999864</v>
      </c>
      <c r="CN40" s="50">
        <v>518.59999999999673</v>
      </c>
      <c r="CO40" s="470"/>
      <c r="CP40" s="50">
        <v>0</v>
      </c>
      <c r="CQ40" s="50">
        <v>0</v>
      </c>
      <c r="CR40" s="50">
        <v>362.24999999999864</v>
      </c>
      <c r="CS40" s="50">
        <v>415.34999999999854</v>
      </c>
      <c r="CT40" s="470"/>
      <c r="CU40" s="50">
        <v>0</v>
      </c>
      <c r="CV40" s="50">
        <v>0</v>
      </c>
      <c r="CW40" s="50">
        <v>191.92499999999905</v>
      </c>
      <c r="CX40" s="50">
        <v>111.89999999999964</v>
      </c>
      <c r="CY40" s="470"/>
      <c r="CZ40" s="50">
        <v>0</v>
      </c>
      <c r="DA40" s="50">
        <v>0</v>
      </c>
      <c r="DB40" s="50">
        <v>117.37500000000273</v>
      </c>
      <c r="DC40" s="50">
        <v>122.99999999999818</v>
      </c>
      <c r="DD40" s="470"/>
      <c r="DE40" s="50">
        <v>0</v>
      </c>
      <c r="DF40" s="50">
        <v>0</v>
      </c>
      <c r="DG40" s="50">
        <v>1331.700000000001</v>
      </c>
      <c r="DH40" s="50">
        <v>1289.6000000000006</v>
      </c>
      <c r="DI40" s="470"/>
      <c r="DJ40" s="50">
        <v>0</v>
      </c>
      <c r="DK40" s="50">
        <v>0</v>
      </c>
      <c r="DL40" s="50">
        <v>0</v>
      </c>
      <c r="DM40" s="50">
        <v>0</v>
      </c>
      <c r="DN40" s="470"/>
      <c r="DO40" s="50">
        <v>0</v>
      </c>
      <c r="DP40" s="50">
        <v>0</v>
      </c>
      <c r="DQ40" s="50">
        <v>124.80000000000246</v>
      </c>
      <c r="DR40" s="50">
        <v>218.89999999999964</v>
      </c>
      <c r="DS40" s="470"/>
      <c r="DT40" s="50">
        <v>0</v>
      </c>
      <c r="DU40" s="50">
        <v>0</v>
      </c>
      <c r="DV40" s="50">
        <v>289.65000000000327</v>
      </c>
      <c r="DW40" s="50">
        <v>42.799999999997453</v>
      </c>
      <c r="DX40" s="470"/>
      <c r="DY40" s="50">
        <v>0</v>
      </c>
      <c r="DZ40" s="50">
        <v>0</v>
      </c>
      <c r="EA40" s="50">
        <v>2472.0000000000559</v>
      </c>
      <c r="EB40" s="50">
        <v>2904.2999999999683</v>
      </c>
      <c r="EC40" s="470"/>
      <c r="ED40" s="50">
        <v>0</v>
      </c>
      <c r="EE40" s="50">
        <v>0</v>
      </c>
      <c r="EF40" s="50">
        <v>0</v>
      </c>
      <c r="EG40" s="50">
        <v>0</v>
      </c>
      <c r="EH40" s="470"/>
      <c r="EI40" s="50">
        <v>0</v>
      </c>
      <c r="EJ40" s="50">
        <v>0</v>
      </c>
      <c r="EK40" s="50">
        <v>194.92499999999973</v>
      </c>
      <c r="EL40" s="50">
        <v>101.99999999999636</v>
      </c>
      <c r="EM40" s="470"/>
      <c r="EN40" s="50">
        <v>0</v>
      </c>
      <c r="EO40" s="50">
        <v>0</v>
      </c>
      <c r="EP40" s="50">
        <v>408.45000000000027</v>
      </c>
      <c r="EQ40" s="50">
        <v>334.69999999999709</v>
      </c>
      <c r="ER40" s="470"/>
      <c r="ES40" s="50">
        <v>0</v>
      </c>
      <c r="ET40" s="50">
        <v>0</v>
      </c>
      <c r="EU40" s="50">
        <v>183.52500000000327</v>
      </c>
      <c r="EV40" s="50">
        <v>0</v>
      </c>
      <c r="EW40" s="470"/>
      <c r="EX40" s="50">
        <v>0</v>
      </c>
      <c r="EY40" s="50">
        <v>0</v>
      </c>
      <c r="EZ40" s="50">
        <v>0</v>
      </c>
      <c r="FA40" s="50">
        <v>417.399999999996</v>
      </c>
      <c r="FB40" s="470"/>
      <c r="FC40" s="50">
        <v>0</v>
      </c>
      <c r="FD40" s="50">
        <v>0</v>
      </c>
      <c r="FE40" s="50">
        <v>1816.1249999999673</v>
      </c>
      <c r="FF40" s="50">
        <v>834.3</v>
      </c>
      <c r="FG40" s="470"/>
      <c r="FH40" s="50">
        <v>0</v>
      </c>
      <c r="FI40" s="50">
        <v>0</v>
      </c>
      <c r="FJ40" s="50">
        <v>219.37500000000273</v>
      </c>
      <c r="FK40" s="50">
        <v>252.69999999999345</v>
      </c>
      <c r="FL40" s="470"/>
      <c r="FM40" s="50">
        <v>0</v>
      </c>
      <c r="FN40" s="50">
        <v>0</v>
      </c>
      <c r="FO40" s="50">
        <v>0</v>
      </c>
      <c r="FP40" s="50">
        <v>335.84999999999491</v>
      </c>
      <c r="FQ40" s="470"/>
      <c r="FR40" s="50">
        <v>0</v>
      </c>
      <c r="FS40" s="50">
        <v>0</v>
      </c>
      <c r="FT40" s="50">
        <v>0</v>
      </c>
      <c r="FU40" s="50">
        <v>431.59999999999854</v>
      </c>
      <c r="FV40" s="470"/>
      <c r="FW40" s="50">
        <v>0</v>
      </c>
      <c r="FX40" s="50">
        <v>0</v>
      </c>
      <c r="FY40" s="50">
        <v>0</v>
      </c>
      <c r="FZ40" s="50">
        <v>0</v>
      </c>
      <c r="GA40" s="470"/>
      <c r="GB40" s="50">
        <v>0</v>
      </c>
      <c r="GC40" s="50">
        <v>0</v>
      </c>
      <c r="GD40" s="50">
        <v>413.36250000000109</v>
      </c>
      <c r="GE40" s="50">
        <v>245.30000000000291</v>
      </c>
      <c r="GF40" s="470"/>
      <c r="GG40" s="50">
        <v>0</v>
      </c>
      <c r="GH40" s="50">
        <v>0</v>
      </c>
      <c r="GI40" s="50">
        <v>0</v>
      </c>
      <c r="GJ40" s="50">
        <v>0</v>
      </c>
      <c r="GK40" s="470"/>
      <c r="GL40" s="50">
        <v>0</v>
      </c>
      <c r="GM40" s="50">
        <v>0</v>
      </c>
      <c r="GN40" s="50">
        <v>969</v>
      </c>
      <c r="GO40" s="50">
        <v>551.90000000000873</v>
      </c>
      <c r="GP40" s="470"/>
      <c r="GQ40" s="50">
        <v>0</v>
      </c>
      <c r="GR40" s="50">
        <v>0</v>
      </c>
      <c r="GS40" s="50">
        <v>376.31250000000273</v>
      </c>
      <c r="GT40" s="50">
        <v>232.49999999999272</v>
      </c>
      <c r="GU40" s="470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54752.887500000259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0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0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0"/>
      <c r="S41" s="458">
        <v>13.325000000000045</v>
      </c>
      <c r="T41" s="50">
        <v>168.14999999999998</v>
      </c>
      <c r="U41" s="508">
        <v>129.37500000000051</v>
      </c>
      <c r="V41" s="50">
        <f>'Punten per wedstrijd'!F40</f>
        <v>231.80000000000018</v>
      </c>
      <c r="W41" s="470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0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70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0"/>
      <c r="AM41" s="458">
        <v>112.77499999999998</v>
      </c>
      <c r="AN41" s="458">
        <v>233.5</v>
      </c>
      <c r="AO41" s="458">
        <v>192.5249999999985</v>
      </c>
      <c r="AP41" s="50">
        <v>608.5</v>
      </c>
      <c r="AQ41" s="470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70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70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70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70"/>
      <c r="BL41" s="50">
        <v>0</v>
      </c>
      <c r="BM41" s="50">
        <v>102.25000000000045</v>
      </c>
      <c r="BN41" s="50">
        <v>143.54999999999905</v>
      </c>
      <c r="BO41" s="518">
        <v>124.1</v>
      </c>
      <c r="BP41" s="470"/>
      <c r="BQ41" s="50">
        <v>95.999999999999545</v>
      </c>
      <c r="BR41" s="50">
        <v>186.35000000000082</v>
      </c>
      <c r="BS41" s="50">
        <v>132.74999999999932</v>
      </c>
      <c r="BT41" s="518">
        <v>488.5</v>
      </c>
      <c r="BU41" s="470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0"/>
      <c r="CA41" s="50">
        <v>25.674999999999955</v>
      </c>
      <c r="CB41" s="50">
        <v>0</v>
      </c>
      <c r="CC41" s="50">
        <v>369</v>
      </c>
      <c r="CD41" s="50">
        <v>130.00000000000091</v>
      </c>
      <c r="CE41" s="470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0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0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0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0"/>
      <c r="CZ41" s="50">
        <v>73.375</v>
      </c>
      <c r="DA41" s="50">
        <v>0</v>
      </c>
      <c r="DB41" s="50">
        <v>99.750000000005457</v>
      </c>
      <c r="DC41" s="50">
        <v>0</v>
      </c>
      <c r="DD41" s="470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0"/>
      <c r="DJ41" s="50">
        <v>158.94999999999982</v>
      </c>
      <c r="DK41" s="50">
        <v>0</v>
      </c>
      <c r="DL41" s="50">
        <v>0</v>
      </c>
      <c r="DM41" s="50">
        <v>0</v>
      </c>
      <c r="DN41" s="470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0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0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0"/>
      <c r="ED41" s="50">
        <v>5.250000000001819</v>
      </c>
      <c r="EE41" s="50">
        <v>0</v>
      </c>
      <c r="EF41" s="50">
        <v>0</v>
      </c>
      <c r="EG41" s="50">
        <v>0</v>
      </c>
      <c r="EH41" s="470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0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0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0"/>
      <c r="EX41" s="50">
        <v>20.625</v>
      </c>
      <c r="EY41" s="50">
        <v>0</v>
      </c>
      <c r="EZ41" s="50">
        <v>0</v>
      </c>
      <c r="FA41" s="50">
        <v>185.50000000000364</v>
      </c>
      <c r="FB41" s="470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0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0"/>
      <c r="FM41" s="50">
        <v>78.299999999999272</v>
      </c>
      <c r="FN41" s="50">
        <v>0</v>
      </c>
      <c r="FO41" s="50">
        <v>0</v>
      </c>
      <c r="FP41" s="50">
        <v>282.79999999999927</v>
      </c>
      <c r="FQ41" s="470"/>
      <c r="FR41" s="50">
        <v>30.099999999998545</v>
      </c>
      <c r="FS41" s="50">
        <v>0</v>
      </c>
      <c r="FT41" s="50">
        <v>0</v>
      </c>
      <c r="FU41" s="50">
        <v>439.69999999999709</v>
      </c>
      <c r="FV41" s="470"/>
      <c r="FW41" s="50">
        <v>8.8500000000001364</v>
      </c>
      <c r="FX41" s="50">
        <v>0</v>
      </c>
      <c r="FY41" s="50">
        <v>0</v>
      </c>
      <c r="FZ41" s="50">
        <v>0</v>
      </c>
      <c r="GA41" s="470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0"/>
      <c r="GG41" s="50">
        <v>130.97499999999945</v>
      </c>
      <c r="GH41" s="50">
        <v>0</v>
      </c>
      <c r="GI41" s="50">
        <v>0</v>
      </c>
      <c r="GJ41" s="50">
        <v>0</v>
      </c>
      <c r="GK41" s="470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0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0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49720.400000000191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0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0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0"/>
      <c r="S42" s="458">
        <v>35.375000000000057</v>
      </c>
      <c r="T42" s="50">
        <v>146.54999999999995</v>
      </c>
      <c r="U42" s="508">
        <v>261.37499999999983</v>
      </c>
      <c r="V42" s="50">
        <f>'Punten per wedstrijd'!F41</f>
        <v>510.39999999999986</v>
      </c>
      <c r="W42" s="470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0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70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0"/>
      <c r="AM42" s="458">
        <v>70.449999999999818</v>
      </c>
      <c r="AN42" s="458">
        <v>275</v>
      </c>
      <c r="AO42" s="458">
        <v>190.31249999999932</v>
      </c>
      <c r="AP42" s="50">
        <v>673.50000000000091</v>
      </c>
      <c r="AQ42" s="470"/>
      <c r="AR42" s="50">
        <v>70.624999999999545</v>
      </c>
      <c r="AS42" s="50">
        <v>248.75</v>
      </c>
      <c r="AT42" s="50">
        <v>442.875</v>
      </c>
      <c r="AU42" s="50">
        <v>419.1</v>
      </c>
      <c r="AV42" s="470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70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70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70"/>
      <c r="BL42" s="50">
        <v>0</v>
      </c>
      <c r="BM42" s="50">
        <v>127.60000000000036</v>
      </c>
      <c r="BN42" s="50">
        <v>257.73750000000109</v>
      </c>
      <c r="BO42" s="518">
        <v>516.29999999999995</v>
      </c>
      <c r="BP42" s="470"/>
      <c r="BQ42" s="50">
        <v>56.799999999999727</v>
      </c>
      <c r="BR42" s="50">
        <v>327.20000000000073</v>
      </c>
      <c r="BS42" s="50">
        <v>145.91250000000082</v>
      </c>
      <c r="BT42" s="518">
        <v>665.90000000000146</v>
      </c>
      <c r="BU42" s="470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0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0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0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0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0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0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0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0"/>
      <c r="DJ42" s="50">
        <v>55.474999999999454</v>
      </c>
      <c r="DK42" s="50">
        <v>0</v>
      </c>
      <c r="DL42" s="50">
        <v>0</v>
      </c>
      <c r="DM42" s="50">
        <v>0</v>
      </c>
      <c r="DN42" s="470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0"/>
      <c r="DT42" s="50">
        <v>247.29999999999927</v>
      </c>
      <c r="DU42" s="50">
        <v>0</v>
      </c>
      <c r="DV42" s="50">
        <v>545.17499999999836</v>
      </c>
      <c r="DW42" s="50">
        <v>415</v>
      </c>
      <c r="DX42" s="470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0"/>
      <c r="ED42" s="50">
        <v>77.625000000001819</v>
      </c>
      <c r="EE42" s="50">
        <v>0</v>
      </c>
      <c r="EF42" s="50">
        <v>0</v>
      </c>
      <c r="EG42" s="50">
        <v>0</v>
      </c>
      <c r="EH42" s="470"/>
      <c r="EI42" s="50">
        <v>56.5</v>
      </c>
      <c r="EJ42" s="50">
        <v>0</v>
      </c>
      <c r="EK42" s="50">
        <v>75.375</v>
      </c>
      <c r="EL42" s="50">
        <v>373</v>
      </c>
      <c r="EM42" s="470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0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0"/>
      <c r="EX42" s="50">
        <v>81.925000000001091</v>
      </c>
      <c r="EY42" s="50">
        <v>0</v>
      </c>
      <c r="EZ42" s="50">
        <v>0</v>
      </c>
      <c r="FA42" s="50">
        <v>407.20000000000437</v>
      </c>
      <c r="FB42" s="470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0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0"/>
      <c r="FM42" s="50">
        <v>99.325000000001637</v>
      </c>
      <c r="FN42" s="50">
        <v>0</v>
      </c>
      <c r="FO42" s="50">
        <v>0</v>
      </c>
      <c r="FP42" s="50">
        <v>197.70000000000073</v>
      </c>
      <c r="FQ42" s="470"/>
      <c r="FR42" s="50">
        <v>52.050000000001091</v>
      </c>
      <c r="FS42" s="50">
        <v>0</v>
      </c>
      <c r="FT42" s="50">
        <v>0</v>
      </c>
      <c r="FU42" s="50">
        <v>451.09999999999854</v>
      </c>
      <c r="FV42" s="470"/>
      <c r="FW42" s="50">
        <v>108.54999999999973</v>
      </c>
      <c r="FX42" s="50">
        <v>0</v>
      </c>
      <c r="FY42" s="50">
        <v>0</v>
      </c>
      <c r="FZ42" s="50">
        <v>0</v>
      </c>
      <c r="GA42" s="470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0"/>
      <c r="GG42" s="50">
        <v>67.275000000002365</v>
      </c>
      <c r="GH42" s="50">
        <v>0</v>
      </c>
      <c r="GI42" s="50">
        <v>0</v>
      </c>
      <c r="GJ42" s="50">
        <v>0</v>
      </c>
      <c r="GK42" s="470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0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0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51695.512499999859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0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0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0"/>
      <c r="S43" s="458">
        <v>28.64999999999992</v>
      </c>
      <c r="T43" s="50">
        <v>62</v>
      </c>
      <c r="U43" s="508">
        <v>145.05000000000007</v>
      </c>
      <c r="V43" s="50">
        <f>'Punten per wedstrijd'!F42</f>
        <v>217.5</v>
      </c>
      <c r="W43" s="470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0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70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0"/>
      <c r="AM43" s="458">
        <v>95.250000000000114</v>
      </c>
      <c r="AN43" s="458">
        <v>150.05000000000041</v>
      </c>
      <c r="AO43" s="458">
        <v>324.60000000000014</v>
      </c>
      <c r="AP43" s="50">
        <v>522.49999999999909</v>
      </c>
      <c r="AQ43" s="470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70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70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70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70"/>
      <c r="BL43" s="50">
        <v>0</v>
      </c>
      <c r="BM43" s="50">
        <v>96</v>
      </c>
      <c r="BN43" s="50">
        <v>122.25</v>
      </c>
      <c r="BO43" s="518">
        <v>240.3</v>
      </c>
      <c r="BP43" s="470"/>
      <c r="BQ43" s="50">
        <v>95.250000000000455</v>
      </c>
      <c r="BR43" s="50">
        <v>186.19999999999936</v>
      </c>
      <c r="BS43" s="50">
        <v>149.85000000000014</v>
      </c>
      <c r="BT43" s="518">
        <v>580.29999999999563</v>
      </c>
      <c r="BU43" s="470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0"/>
      <c r="CA43" s="50">
        <v>76.125</v>
      </c>
      <c r="CB43" s="50">
        <v>0</v>
      </c>
      <c r="CC43" s="50">
        <v>213.74999999999727</v>
      </c>
      <c r="CD43" s="50">
        <v>208</v>
      </c>
      <c r="CE43" s="470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0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0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0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0"/>
      <c r="CZ43" s="50">
        <v>68.625</v>
      </c>
      <c r="DA43" s="50">
        <v>0</v>
      </c>
      <c r="DB43" s="50">
        <v>70.125</v>
      </c>
      <c r="DC43" s="50">
        <v>48.600000000002183</v>
      </c>
      <c r="DD43" s="470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0"/>
      <c r="DJ43" s="50">
        <v>46.224999999999</v>
      </c>
      <c r="DK43" s="50">
        <v>0</v>
      </c>
      <c r="DL43" s="50">
        <v>0</v>
      </c>
      <c r="DM43" s="50">
        <v>0</v>
      </c>
      <c r="DN43" s="470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0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0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0"/>
      <c r="ED43" s="50">
        <v>65.449999999999818</v>
      </c>
      <c r="EE43" s="50">
        <v>0</v>
      </c>
      <c r="EF43" s="50">
        <v>0</v>
      </c>
      <c r="EG43" s="50">
        <v>0</v>
      </c>
      <c r="EH43" s="470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0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0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0"/>
      <c r="EX43" s="50">
        <v>52.125000000000909</v>
      </c>
      <c r="EY43" s="50">
        <v>0</v>
      </c>
      <c r="EZ43" s="50">
        <v>0</v>
      </c>
      <c r="FA43" s="50">
        <v>259.39999999999418</v>
      </c>
      <c r="FB43" s="470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0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0"/>
      <c r="FM43" s="50">
        <v>129.55000000000109</v>
      </c>
      <c r="FN43" s="50">
        <v>0</v>
      </c>
      <c r="FO43" s="50">
        <v>0</v>
      </c>
      <c r="FP43" s="50">
        <v>164.59999999999491</v>
      </c>
      <c r="FQ43" s="470"/>
      <c r="FR43" s="50">
        <v>88.574999999999818</v>
      </c>
      <c r="FS43" s="50">
        <v>0</v>
      </c>
      <c r="FT43" s="50">
        <v>0</v>
      </c>
      <c r="FU43" s="50">
        <v>428.99999999999272</v>
      </c>
      <c r="FV43" s="470"/>
      <c r="FW43" s="50">
        <v>32.249999999999545</v>
      </c>
      <c r="FX43" s="50">
        <v>0</v>
      </c>
      <c r="FY43" s="50">
        <v>0</v>
      </c>
      <c r="FZ43" s="50">
        <v>0</v>
      </c>
      <c r="GA43" s="470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0"/>
      <c r="GG43" s="50">
        <v>86.975000000000364</v>
      </c>
      <c r="GH43" s="50">
        <v>0</v>
      </c>
      <c r="GI43" s="50">
        <v>0</v>
      </c>
      <c r="GJ43" s="50">
        <v>0</v>
      </c>
      <c r="GK43" s="470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0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0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3381</v>
      </c>
      <c r="B44" s="46">
        <f t="shared" si="1"/>
        <v>5969.3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0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0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0"/>
      <c r="S44" s="458">
        <v>0</v>
      </c>
      <c r="T44" s="50">
        <v>0</v>
      </c>
      <c r="U44" s="508">
        <v>0</v>
      </c>
      <c r="V44" s="50">
        <f>'Punten per wedstrijd'!F43</f>
        <v>461.00000000000023</v>
      </c>
      <c r="W44" s="470"/>
      <c r="X44" s="50">
        <v>0</v>
      </c>
      <c r="Y44" s="50">
        <v>0</v>
      </c>
      <c r="Z44" s="50">
        <v>0</v>
      </c>
      <c r="AA44" s="50">
        <v>236.19999999999936</v>
      </c>
      <c r="AB44" s="470"/>
      <c r="AC44" s="50">
        <v>0</v>
      </c>
      <c r="AD44" s="50">
        <v>0</v>
      </c>
      <c r="AE44" s="50">
        <v>0</v>
      </c>
      <c r="AF44" s="50">
        <v>686.89999999999964</v>
      </c>
      <c r="AG44" s="470"/>
      <c r="AH44" s="50">
        <v>0</v>
      </c>
      <c r="AI44" s="50">
        <v>0</v>
      </c>
      <c r="AJ44" s="50">
        <v>0</v>
      </c>
      <c r="AK44" s="50">
        <v>367.19999999999982</v>
      </c>
      <c r="AL44" s="470"/>
      <c r="AM44" s="458">
        <v>0</v>
      </c>
      <c r="AN44" s="458">
        <v>0</v>
      </c>
      <c r="AO44" s="458">
        <v>0</v>
      </c>
      <c r="AP44" s="50">
        <v>620.64999999999873</v>
      </c>
      <c r="AQ44" s="470"/>
      <c r="AR44" s="50">
        <v>0</v>
      </c>
      <c r="AS44" s="50">
        <v>0</v>
      </c>
      <c r="AT44" s="50">
        <v>0</v>
      </c>
      <c r="AU44" s="50">
        <v>334.8</v>
      </c>
      <c r="AV44" s="470"/>
      <c r="AW44" s="50">
        <v>0</v>
      </c>
      <c r="AX44" s="50">
        <v>0</v>
      </c>
      <c r="AY44" s="50">
        <v>0</v>
      </c>
      <c r="AZ44" s="50">
        <v>376.30000000000109</v>
      </c>
      <c r="BA44" s="470"/>
      <c r="BB44" s="50">
        <v>0</v>
      </c>
      <c r="BC44" s="50">
        <v>0</v>
      </c>
      <c r="BD44" s="50">
        <v>0</v>
      </c>
      <c r="BE44" s="50">
        <v>595.75</v>
      </c>
      <c r="BF44" s="470"/>
      <c r="BG44" s="50">
        <v>0</v>
      </c>
      <c r="BH44" s="50">
        <v>0</v>
      </c>
      <c r="BI44" s="50">
        <v>0</v>
      </c>
      <c r="BJ44" s="50">
        <v>153.69999999999999</v>
      </c>
      <c r="BK44" s="470"/>
      <c r="BL44" s="50">
        <v>0</v>
      </c>
      <c r="BM44" s="50">
        <v>0</v>
      </c>
      <c r="BN44" s="50">
        <v>0</v>
      </c>
      <c r="BO44" s="518">
        <v>255.8</v>
      </c>
      <c r="BP44" s="470"/>
      <c r="BQ44" s="50">
        <v>0</v>
      </c>
      <c r="BR44" s="50">
        <v>0</v>
      </c>
      <c r="BS44" s="50">
        <v>0</v>
      </c>
      <c r="BT44" s="518">
        <v>577.300000000002</v>
      </c>
      <c r="BU44" s="470"/>
      <c r="BV44" s="50"/>
      <c r="BW44" s="50"/>
      <c r="BX44" s="50"/>
      <c r="BY44" s="50"/>
      <c r="BZ44" s="470"/>
      <c r="CA44" s="50"/>
      <c r="CB44" s="50"/>
      <c r="CC44" s="50"/>
      <c r="CD44" s="50"/>
      <c r="CE44" s="470"/>
      <c r="CF44" s="50"/>
      <c r="CG44" s="50"/>
      <c r="CH44" s="50"/>
      <c r="CI44" s="50"/>
      <c r="CJ44" s="470"/>
      <c r="CK44" s="50"/>
      <c r="CL44" s="50"/>
      <c r="CM44" s="50"/>
      <c r="CN44" s="50"/>
      <c r="CO44" s="470"/>
      <c r="CP44" s="50"/>
      <c r="CQ44" s="50"/>
      <c r="CR44" s="50"/>
      <c r="CS44" s="50"/>
      <c r="CT44" s="470"/>
      <c r="CU44" s="50"/>
      <c r="CV44" s="50"/>
      <c r="CW44" s="50"/>
      <c r="CX44" s="50"/>
      <c r="CY44" s="470"/>
      <c r="CZ44" s="50"/>
      <c r="DA44" s="50"/>
      <c r="DB44" s="50"/>
      <c r="DC44" s="50"/>
      <c r="DD44" s="470"/>
      <c r="DE44" s="50"/>
      <c r="DF44" s="50"/>
      <c r="DG44" s="50"/>
      <c r="DH44" s="50"/>
      <c r="DI44" s="470"/>
      <c r="DJ44" s="50"/>
      <c r="DK44" s="50"/>
      <c r="DL44" s="50"/>
      <c r="DM44" s="50"/>
      <c r="DN44" s="470"/>
      <c r="DO44" s="50"/>
      <c r="DP44" s="50"/>
      <c r="DQ44" s="50"/>
      <c r="DR44" s="50"/>
      <c r="DS44" s="470"/>
      <c r="DT44" s="50"/>
      <c r="DU44" s="50"/>
      <c r="DV44" s="50"/>
      <c r="DW44" s="50"/>
      <c r="DX44" s="470"/>
      <c r="DY44" s="50"/>
      <c r="DZ44" s="50"/>
      <c r="EA44" s="50"/>
      <c r="EB44" s="50"/>
      <c r="EC44" s="470"/>
      <c r="ED44" s="50"/>
      <c r="EE44" s="50"/>
      <c r="EF44" s="50"/>
      <c r="EG44" s="50"/>
      <c r="EH44" s="470"/>
      <c r="EI44" s="50"/>
      <c r="EJ44" s="50"/>
      <c r="EK44" s="50"/>
      <c r="EL44" s="50"/>
      <c r="EM44" s="470"/>
      <c r="EN44" s="50"/>
      <c r="EO44" s="50"/>
      <c r="EP44" s="50"/>
      <c r="EQ44" s="50"/>
      <c r="ER44" s="470"/>
      <c r="ES44" s="50"/>
      <c r="ET44" s="50"/>
      <c r="EU44" s="50"/>
      <c r="EV44" s="50"/>
      <c r="EW44" s="470"/>
      <c r="EX44" s="50"/>
      <c r="EY44" s="50"/>
      <c r="EZ44" s="50"/>
      <c r="FA44" s="50"/>
      <c r="FB44" s="470"/>
      <c r="FC44" s="50"/>
      <c r="FD44" s="50"/>
      <c r="FE44" s="50"/>
      <c r="FF44" s="50"/>
      <c r="FG44" s="470"/>
      <c r="FH44" s="50"/>
      <c r="FI44" s="50"/>
      <c r="FJ44" s="50"/>
      <c r="FK44" s="50"/>
      <c r="FL44" s="470"/>
      <c r="FM44" s="50"/>
      <c r="FN44" s="50"/>
      <c r="FO44" s="50"/>
      <c r="FP44" s="50"/>
      <c r="FQ44" s="470"/>
      <c r="FR44" s="50"/>
      <c r="FS44" s="50"/>
      <c r="FT44" s="50"/>
      <c r="FU44" s="50"/>
      <c r="FV44" s="470"/>
      <c r="FW44" s="50"/>
      <c r="FX44" s="50"/>
      <c r="FY44" s="50"/>
      <c r="FZ44" s="50"/>
      <c r="GA44" s="470"/>
      <c r="GB44" s="50"/>
      <c r="GC44" s="50"/>
      <c r="GD44" s="50"/>
      <c r="GE44" s="50"/>
      <c r="GF44" s="470"/>
      <c r="GG44" s="50"/>
      <c r="GH44" s="50"/>
      <c r="GI44" s="50"/>
      <c r="GJ44" s="50"/>
      <c r="GK44" s="470"/>
      <c r="GL44" s="50"/>
      <c r="GM44" s="50"/>
      <c r="GN44" s="50"/>
      <c r="GO44" s="50"/>
      <c r="GP44" s="470"/>
      <c r="GQ44" s="50"/>
      <c r="GR44" s="50"/>
      <c r="GS44" s="50"/>
      <c r="GT44" s="50"/>
      <c r="GU44" s="470"/>
      <c r="GZ44" s="143"/>
      <c r="HA44" s="464"/>
      <c r="HI44" s="143"/>
      <c r="HJ44" s="464"/>
      <c r="HR44" s="143"/>
      <c r="HS44" s="464"/>
      <c r="IB44" s="464"/>
      <c r="IK44" s="464"/>
      <c r="IT44" s="464"/>
      <c r="JC44" s="464"/>
      <c r="JL44" s="464"/>
      <c r="JU44" s="464"/>
      <c r="KD44" s="464"/>
      <c r="KM44" s="464"/>
      <c r="KV44" s="464"/>
      <c r="LE44" s="464"/>
      <c r="MF44" s="464"/>
      <c r="MO44" s="464"/>
      <c r="MX44" s="464"/>
      <c r="NG44" s="464"/>
      <c r="NP44" s="464"/>
      <c r="NY44" s="464"/>
      <c r="OE44" s="37"/>
    </row>
    <row r="45" spans="1:396" s="39" customFormat="1" ht="18">
      <c r="A45" s="41" t="s">
        <v>3406</v>
      </c>
      <c r="B45" s="46">
        <f t="shared" si="1"/>
        <v>6729.1500000000024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0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0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0"/>
      <c r="S45" s="458">
        <v>0</v>
      </c>
      <c r="T45" s="50">
        <v>0</v>
      </c>
      <c r="U45" s="508">
        <v>0</v>
      </c>
      <c r="V45" s="50">
        <f>'Punten per wedstrijd'!F44</f>
        <v>219.69999999999959</v>
      </c>
      <c r="W45" s="470"/>
      <c r="X45" s="50">
        <v>0</v>
      </c>
      <c r="Y45" s="50">
        <v>0</v>
      </c>
      <c r="Z45" s="50">
        <v>0</v>
      </c>
      <c r="AA45" s="50">
        <v>286.50000000000045</v>
      </c>
      <c r="AB45" s="470"/>
      <c r="AC45" s="50">
        <v>0</v>
      </c>
      <c r="AD45" s="50">
        <v>0</v>
      </c>
      <c r="AE45" s="50">
        <v>0</v>
      </c>
      <c r="AF45" s="50">
        <v>805.00000000000091</v>
      </c>
      <c r="AG45" s="470"/>
      <c r="AH45" s="50">
        <v>0</v>
      </c>
      <c r="AI45" s="50">
        <v>0</v>
      </c>
      <c r="AJ45" s="50">
        <v>0</v>
      </c>
      <c r="AK45" s="50">
        <v>791.45000000000027</v>
      </c>
      <c r="AL45" s="470"/>
      <c r="AM45" s="458">
        <v>0</v>
      </c>
      <c r="AN45" s="458">
        <v>0</v>
      </c>
      <c r="AO45" s="458">
        <v>0</v>
      </c>
      <c r="AP45" s="50">
        <v>645.15000000000055</v>
      </c>
      <c r="AQ45" s="470"/>
      <c r="AR45" s="50">
        <v>0</v>
      </c>
      <c r="AS45" s="50">
        <v>0</v>
      </c>
      <c r="AT45" s="50">
        <v>0</v>
      </c>
      <c r="AU45" s="50">
        <v>140.80000000000001</v>
      </c>
      <c r="AV45" s="470"/>
      <c r="AW45" s="50">
        <v>0</v>
      </c>
      <c r="AX45" s="50">
        <v>0</v>
      </c>
      <c r="AY45" s="50">
        <v>0</v>
      </c>
      <c r="AZ45" s="50">
        <v>906.60000000000036</v>
      </c>
      <c r="BA45" s="470"/>
      <c r="BB45" s="50">
        <v>0</v>
      </c>
      <c r="BC45" s="50">
        <v>0</v>
      </c>
      <c r="BD45" s="50">
        <v>0</v>
      </c>
      <c r="BE45" s="50">
        <v>517.29999999999995</v>
      </c>
      <c r="BF45" s="470"/>
      <c r="BG45" s="50">
        <v>0</v>
      </c>
      <c r="BH45" s="50">
        <v>0</v>
      </c>
      <c r="BI45" s="50">
        <v>0</v>
      </c>
      <c r="BJ45" s="50">
        <v>266</v>
      </c>
      <c r="BK45" s="470"/>
      <c r="BL45" s="50">
        <v>0</v>
      </c>
      <c r="BM45" s="50">
        <v>0</v>
      </c>
      <c r="BN45" s="50">
        <v>0</v>
      </c>
      <c r="BO45" s="518">
        <v>188.8</v>
      </c>
      <c r="BP45" s="470"/>
      <c r="BQ45" s="50">
        <v>0</v>
      </c>
      <c r="BR45" s="50">
        <v>0</v>
      </c>
      <c r="BS45" s="50">
        <v>0</v>
      </c>
      <c r="BT45" s="518">
        <v>611.34999999999945</v>
      </c>
      <c r="BU45" s="470"/>
      <c r="BV45" s="50"/>
      <c r="BW45" s="50"/>
      <c r="BX45" s="50"/>
      <c r="BY45" s="50"/>
      <c r="BZ45" s="470"/>
      <c r="CA45" s="50"/>
      <c r="CB45" s="50"/>
      <c r="CC45" s="50"/>
      <c r="CD45" s="50"/>
      <c r="CE45" s="470"/>
      <c r="CF45" s="50"/>
      <c r="CG45" s="50"/>
      <c r="CH45" s="50"/>
      <c r="CI45" s="50"/>
      <c r="CJ45" s="470"/>
      <c r="CK45" s="50"/>
      <c r="CL45" s="50"/>
      <c r="CM45" s="50"/>
      <c r="CN45" s="50"/>
      <c r="CO45" s="470"/>
      <c r="CP45" s="50"/>
      <c r="CQ45" s="50"/>
      <c r="CR45" s="50"/>
      <c r="CS45" s="50"/>
      <c r="CT45" s="470"/>
      <c r="CU45" s="50"/>
      <c r="CV45" s="50"/>
      <c r="CW45" s="50"/>
      <c r="CX45" s="50"/>
      <c r="CY45" s="470"/>
      <c r="CZ45" s="50"/>
      <c r="DA45" s="50"/>
      <c r="DB45" s="50"/>
      <c r="DC45" s="50"/>
      <c r="DD45" s="470"/>
      <c r="DE45" s="50"/>
      <c r="DF45" s="50"/>
      <c r="DG45" s="50"/>
      <c r="DH45" s="50"/>
      <c r="DI45" s="470"/>
      <c r="DJ45" s="50"/>
      <c r="DK45" s="50"/>
      <c r="DL45" s="50"/>
      <c r="DM45" s="50"/>
      <c r="DN45" s="470"/>
      <c r="DO45" s="50"/>
      <c r="DP45" s="50"/>
      <c r="DQ45" s="50"/>
      <c r="DR45" s="50"/>
      <c r="DS45" s="470"/>
      <c r="DT45" s="50"/>
      <c r="DU45" s="50"/>
      <c r="DV45" s="50"/>
      <c r="DW45" s="50"/>
      <c r="DX45" s="470"/>
      <c r="DY45" s="50"/>
      <c r="DZ45" s="50"/>
      <c r="EA45" s="50"/>
      <c r="EB45" s="50"/>
      <c r="EC45" s="470"/>
      <c r="ED45" s="50"/>
      <c r="EE45" s="50"/>
      <c r="EF45" s="50"/>
      <c r="EG45" s="50"/>
      <c r="EH45" s="470"/>
      <c r="EI45" s="50"/>
      <c r="EJ45" s="50"/>
      <c r="EK45" s="50"/>
      <c r="EL45" s="50"/>
      <c r="EM45" s="470"/>
      <c r="EN45" s="50"/>
      <c r="EO45" s="50"/>
      <c r="EP45" s="50"/>
      <c r="EQ45" s="50"/>
      <c r="ER45" s="470"/>
      <c r="ES45" s="50"/>
      <c r="ET45" s="50"/>
      <c r="EU45" s="50"/>
      <c r="EV45" s="50"/>
      <c r="EW45" s="470"/>
      <c r="EX45" s="50"/>
      <c r="EY45" s="50"/>
      <c r="EZ45" s="50"/>
      <c r="FA45" s="50"/>
      <c r="FB45" s="470"/>
      <c r="FC45" s="50"/>
      <c r="FD45" s="50"/>
      <c r="FE45" s="50"/>
      <c r="FF45" s="50"/>
      <c r="FG45" s="470"/>
      <c r="FH45" s="50"/>
      <c r="FI45" s="50"/>
      <c r="FJ45" s="50"/>
      <c r="FK45" s="50"/>
      <c r="FL45" s="470"/>
      <c r="FM45" s="50"/>
      <c r="FN45" s="50"/>
      <c r="FO45" s="50"/>
      <c r="FP45" s="50"/>
      <c r="FQ45" s="470"/>
      <c r="FR45" s="50"/>
      <c r="FS45" s="50"/>
      <c r="FT45" s="50"/>
      <c r="FU45" s="50"/>
      <c r="FV45" s="470"/>
      <c r="FW45" s="50"/>
      <c r="FX45" s="50"/>
      <c r="FY45" s="50"/>
      <c r="FZ45" s="50"/>
      <c r="GA45" s="470"/>
      <c r="GB45" s="50"/>
      <c r="GC45" s="50"/>
      <c r="GD45" s="50"/>
      <c r="GE45" s="50"/>
      <c r="GF45" s="470"/>
      <c r="GG45" s="50"/>
      <c r="GH45" s="50"/>
      <c r="GI45" s="50"/>
      <c r="GJ45" s="50"/>
      <c r="GK45" s="470"/>
      <c r="GL45" s="50"/>
      <c r="GM45" s="50"/>
      <c r="GN45" s="50"/>
      <c r="GO45" s="50"/>
      <c r="GP45" s="470"/>
      <c r="GQ45" s="50"/>
      <c r="GR45" s="50"/>
      <c r="GS45" s="50"/>
      <c r="GT45" s="50"/>
      <c r="GU45" s="470"/>
      <c r="GZ45" s="143"/>
      <c r="HA45" s="464"/>
      <c r="HI45" s="143"/>
      <c r="HJ45" s="464"/>
      <c r="HR45" s="143"/>
      <c r="HS45" s="464"/>
      <c r="IB45" s="464"/>
      <c r="IK45" s="464"/>
      <c r="IT45" s="464"/>
      <c r="JC45" s="464"/>
      <c r="JL45" s="464"/>
      <c r="JU45" s="464"/>
      <c r="KD45" s="464"/>
      <c r="KM45" s="464"/>
      <c r="KV45" s="464"/>
      <c r="LE45" s="464"/>
      <c r="MF45" s="464"/>
      <c r="MO45" s="464"/>
      <c r="MX45" s="464"/>
      <c r="NG45" s="464"/>
      <c r="NP45" s="464"/>
      <c r="NY45" s="464"/>
      <c r="OE45" s="37"/>
    </row>
    <row r="46" spans="1:396" ht="18">
      <c r="A46" s="41" t="s">
        <v>3384</v>
      </c>
      <c r="B46" s="46">
        <f t="shared" si="1"/>
        <v>4660.9000000000051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0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0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0"/>
      <c r="S46" s="458">
        <v>0</v>
      </c>
      <c r="T46" s="50">
        <v>0</v>
      </c>
      <c r="U46" s="508">
        <v>0</v>
      </c>
      <c r="V46" s="50">
        <f>'Punten per wedstrijd'!F45</f>
        <v>339.99999999999977</v>
      </c>
      <c r="W46" s="470"/>
      <c r="X46" s="50">
        <v>0</v>
      </c>
      <c r="Y46" s="50">
        <v>0</v>
      </c>
      <c r="Z46" s="50">
        <v>0</v>
      </c>
      <c r="AA46" s="50">
        <v>85.399999999999636</v>
      </c>
      <c r="AB46" s="470"/>
      <c r="AC46" s="50">
        <v>0</v>
      </c>
      <c r="AD46" s="50">
        <v>0</v>
      </c>
      <c r="AE46" s="50">
        <v>0</v>
      </c>
      <c r="AF46" s="50">
        <v>696.59999999999991</v>
      </c>
      <c r="AG46" s="470"/>
      <c r="AH46" s="50">
        <v>0</v>
      </c>
      <c r="AI46" s="50">
        <v>0</v>
      </c>
      <c r="AJ46" s="50">
        <v>0</v>
      </c>
      <c r="AK46" s="50">
        <v>385.49999999999955</v>
      </c>
      <c r="AL46" s="470"/>
      <c r="AM46" s="458">
        <v>0</v>
      </c>
      <c r="AN46" s="458">
        <v>0</v>
      </c>
      <c r="AO46" s="458">
        <v>0</v>
      </c>
      <c r="AP46" s="50">
        <v>557.89999999999964</v>
      </c>
      <c r="AQ46" s="470"/>
      <c r="AR46" s="50">
        <v>0</v>
      </c>
      <c r="AS46" s="50">
        <v>0</v>
      </c>
      <c r="AT46" s="50">
        <v>0</v>
      </c>
      <c r="AU46" s="50">
        <v>263.59999999999997</v>
      </c>
      <c r="AV46" s="470"/>
      <c r="AW46" s="50">
        <v>0</v>
      </c>
      <c r="AX46" s="50">
        <v>0</v>
      </c>
      <c r="AY46" s="50">
        <v>0</v>
      </c>
      <c r="AZ46" s="50">
        <v>379.600000000004</v>
      </c>
      <c r="BA46" s="470"/>
      <c r="BB46" s="50">
        <v>0</v>
      </c>
      <c r="BC46" s="50">
        <v>0</v>
      </c>
      <c r="BD46" s="50">
        <v>0</v>
      </c>
      <c r="BE46" s="50">
        <v>496.5</v>
      </c>
      <c r="BF46" s="470"/>
      <c r="BG46" s="50">
        <v>0</v>
      </c>
      <c r="BH46" s="50">
        <v>0</v>
      </c>
      <c r="BI46" s="50">
        <v>0</v>
      </c>
      <c r="BJ46" s="50">
        <v>333.8</v>
      </c>
      <c r="BK46" s="470"/>
      <c r="BL46" s="50">
        <v>0</v>
      </c>
      <c r="BM46" s="50">
        <v>0</v>
      </c>
      <c r="BN46" s="50">
        <v>0</v>
      </c>
      <c r="BO46" s="518">
        <v>176.9</v>
      </c>
      <c r="BP46" s="470"/>
      <c r="BQ46" s="50">
        <v>0</v>
      </c>
      <c r="BR46" s="50">
        <v>0</v>
      </c>
      <c r="BS46" s="50">
        <v>0</v>
      </c>
      <c r="BT46" s="518">
        <v>496.60000000000309</v>
      </c>
      <c r="BU46" s="470"/>
      <c r="BV46" s="50"/>
      <c r="BW46" s="50"/>
      <c r="BX46" s="50"/>
      <c r="BY46" s="50"/>
      <c r="BZ46" s="470"/>
      <c r="CA46" s="50"/>
      <c r="CB46" s="50"/>
      <c r="CC46" s="50"/>
      <c r="CD46" s="50"/>
      <c r="CE46" s="470"/>
      <c r="CF46" s="50"/>
      <c r="CG46" s="50"/>
      <c r="CH46" s="50"/>
      <c r="CI46" s="50"/>
      <c r="CJ46" s="470"/>
      <c r="CK46" s="50"/>
      <c r="CL46" s="50"/>
      <c r="CM46" s="50"/>
      <c r="CN46" s="50"/>
      <c r="CO46" s="470"/>
      <c r="CP46" s="50"/>
      <c r="CQ46" s="50"/>
      <c r="CR46" s="50"/>
      <c r="CS46" s="50"/>
      <c r="CT46" s="470"/>
      <c r="CU46" s="50"/>
      <c r="CV46" s="50"/>
      <c r="CW46" s="50"/>
      <c r="CX46" s="50"/>
      <c r="CY46" s="470"/>
      <c r="CZ46" s="50"/>
      <c r="DA46" s="50"/>
      <c r="DB46" s="50"/>
      <c r="DC46" s="50"/>
      <c r="DD46" s="470"/>
      <c r="DE46" s="50"/>
      <c r="DF46" s="50"/>
      <c r="DG46" s="50"/>
      <c r="DH46" s="50"/>
      <c r="DI46" s="470"/>
      <c r="DJ46" s="50"/>
      <c r="DK46" s="50"/>
      <c r="DL46" s="50"/>
      <c r="DM46" s="50"/>
      <c r="DN46" s="470"/>
      <c r="DO46" s="50"/>
      <c r="DP46" s="50"/>
      <c r="DQ46" s="50"/>
      <c r="DR46" s="50"/>
      <c r="DS46" s="470"/>
      <c r="DT46" s="50"/>
      <c r="DU46" s="50"/>
      <c r="DV46" s="50"/>
      <c r="DW46" s="50"/>
      <c r="DX46" s="470"/>
      <c r="DY46" s="50"/>
      <c r="DZ46" s="50"/>
      <c r="EA46" s="50"/>
      <c r="EB46" s="50"/>
      <c r="EC46" s="470"/>
      <c r="ED46" s="50"/>
      <c r="EE46" s="50"/>
      <c r="EF46" s="50"/>
      <c r="EG46" s="50"/>
      <c r="EH46" s="470"/>
      <c r="EI46" s="50"/>
      <c r="EJ46" s="50"/>
      <c r="EK46" s="50"/>
      <c r="EL46" s="50"/>
      <c r="EM46" s="470"/>
      <c r="EN46" s="50"/>
      <c r="EO46" s="50"/>
      <c r="EP46" s="50"/>
      <c r="EQ46" s="50"/>
      <c r="ER46" s="470"/>
      <c r="ES46" s="50"/>
      <c r="ET46" s="50"/>
      <c r="EU46" s="50"/>
      <c r="EV46" s="50"/>
      <c r="EW46" s="470"/>
      <c r="EX46" s="50"/>
      <c r="EY46" s="50"/>
      <c r="EZ46" s="50"/>
      <c r="FA46" s="50"/>
      <c r="FB46" s="470"/>
      <c r="FC46" s="50"/>
      <c r="FD46" s="50"/>
      <c r="FE46" s="50"/>
      <c r="FF46" s="50"/>
      <c r="FG46" s="470"/>
      <c r="FH46" s="50"/>
      <c r="FI46" s="50"/>
      <c r="FJ46" s="50"/>
      <c r="FK46" s="50"/>
      <c r="FL46" s="470"/>
      <c r="FM46" s="50"/>
      <c r="FN46" s="50"/>
      <c r="FO46" s="50"/>
      <c r="FP46" s="50"/>
      <c r="FQ46" s="470"/>
      <c r="FR46" s="50"/>
      <c r="FS46" s="50"/>
      <c r="FT46" s="50"/>
      <c r="FU46" s="50"/>
      <c r="FV46" s="470"/>
      <c r="FW46" s="50"/>
      <c r="FX46" s="50"/>
      <c r="FY46" s="50"/>
      <c r="FZ46" s="50"/>
      <c r="GA46" s="470"/>
      <c r="GB46" s="50"/>
      <c r="GC46" s="50"/>
      <c r="GD46" s="50"/>
      <c r="GE46" s="50"/>
      <c r="GF46" s="470"/>
      <c r="GG46" s="50"/>
      <c r="GH46" s="50"/>
      <c r="GI46" s="50"/>
      <c r="GJ46" s="50"/>
      <c r="GK46" s="470"/>
      <c r="GL46" s="50"/>
      <c r="GM46" s="50"/>
      <c r="GN46" s="50"/>
      <c r="GO46" s="50"/>
      <c r="GP46" s="470"/>
      <c r="GQ46" s="50"/>
      <c r="GR46" s="50"/>
      <c r="GS46" s="50"/>
      <c r="GT46" s="50"/>
      <c r="GU46" s="470"/>
    </row>
    <row r="47" spans="1:396" ht="18">
      <c r="A47" s="84" t="s">
        <v>1643</v>
      </c>
      <c r="B47" s="46">
        <f t="shared" si="1"/>
        <v>40184.775000000038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0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0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0"/>
      <c r="S47" s="458">
        <v>38.449999999999989</v>
      </c>
      <c r="T47" s="50">
        <v>40.39999999999992</v>
      </c>
      <c r="U47" s="508">
        <v>89.25</v>
      </c>
      <c r="V47" s="50">
        <f>'Punten per wedstrijd'!F46</f>
        <v>205.89999999999986</v>
      </c>
      <c r="W47" s="470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0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70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0"/>
      <c r="AM47" s="458">
        <v>105.67499999999995</v>
      </c>
      <c r="AN47" s="458">
        <v>115.04999999999995</v>
      </c>
      <c r="AO47" s="458">
        <v>119.24999999999932</v>
      </c>
      <c r="AP47" s="50">
        <v>468</v>
      </c>
      <c r="AQ47" s="470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70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70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70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70"/>
      <c r="BL47" s="50">
        <v>0</v>
      </c>
      <c r="BM47" s="50">
        <v>189.40000000000055</v>
      </c>
      <c r="BN47" s="50">
        <v>52.5</v>
      </c>
      <c r="BO47" s="518">
        <v>85.9</v>
      </c>
      <c r="BP47" s="470"/>
      <c r="BQ47" s="50">
        <v>63.450000000000728</v>
      </c>
      <c r="BR47" s="50">
        <v>164.80000000000064</v>
      </c>
      <c r="BS47" s="50">
        <v>211.49999999999932</v>
      </c>
      <c r="BT47" s="518">
        <v>420.49999999999909</v>
      </c>
      <c r="BU47" s="470"/>
      <c r="BV47" s="50">
        <v>0</v>
      </c>
      <c r="BW47" s="50">
        <v>0</v>
      </c>
      <c r="BX47" s="50">
        <v>617.0625</v>
      </c>
      <c r="BY47" s="50">
        <v>680.30000000000018</v>
      </c>
      <c r="BZ47" s="470"/>
      <c r="CA47" s="50">
        <v>0</v>
      </c>
      <c r="CB47" s="50">
        <v>0</v>
      </c>
      <c r="CC47" s="50">
        <v>277.05000000000109</v>
      </c>
      <c r="CD47" s="50">
        <v>23.300000000001091</v>
      </c>
      <c r="CE47" s="470"/>
      <c r="CF47" s="50">
        <v>0</v>
      </c>
      <c r="CG47" s="50">
        <v>0</v>
      </c>
      <c r="CH47" s="50">
        <v>227.77499999999986</v>
      </c>
      <c r="CI47" s="50">
        <v>92.899999999998727</v>
      </c>
      <c r="CJ47" s="470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0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0"/>
      <c r="CU47" s="50">
        <v>0</v>
      </c>
      <c r="CV47" s="50">
        <v>0</v>
      </c>
      <c r="CW47" s="50">
        <v>193.27500000000055</v>
      </c>
      <c r="CX47" s="50">
        <v>348.40000000000055</v>
      </c>
      <c r="CY47" s="470"/>
      <c r="CZ47" s="50">
        <v>0</v>
      </c>
      <c r="DA47" s="50">
        <v>0</v>
      </c>
      <c r="DB47" s="50">
        <v>132.82500000000437</v>
      </c>
      <c r="DC47" s="50">
        <v>258</v>
      </c>
      <c r="DD47" s="470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0"/>
      <c r="DJ47" s="50">
        <v>0</v>
      </c>
      <c r="DK47" s="50">
        <v>0</v>
      </c>
      <c r="DL47" s="50">
        <v>0</v>
      </c>
      <c r="DM47" s="50">
        <v>0</v>
      </c>
      <c r="DN47" s="470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0"/>
      <c r="DT47" s="50">
        <v>0</v>
      </c>
      <c r="DU47" s="50">
        <v>0</v>
      </c>
      <c r="DV47" s="50">
        <v>216.97500000000082</v>
      </c>
      <c r="DW47" s="50">
        <v>342.50000000000182</v>
      </c>
      <c r="DX47" s="470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0"/>
      <c r="ED47" s="50">
        <v>0</v>
      </c>
      <c r="EE47" s="50">
        <v>0</v>
      </c>
      <c r="EF47" s="50">
        <v>0</v>
      </c>
      <c r="EG47" s="50">
        <v>0</v>
      </c>
      <c r="EH47" s="470"/>
      <c r="EI47" s="50">
        <v>0</v>
      </c>
      <c r="EJ47" s="50">
        <v>0</v>
      </c>
      <c r="EK47" s="50">
        <v>166.12499999999864</v>
      </c>
      <c r="EL47" s="50">
        <v>478.5</v>
      </c>
      <c r="EM47" s="470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0"/>
      <c r="ES47" s="50">
        <v>0</v>
      </c>
      <c r="ET47" s="50">
        <v>153.85000000000127</v>
      </c>
      <c r="EU47" s="50">
        <v>334.65000000000055</v>
      </c>
      <c r="EV47" s="50">
        <v>0</v>
      </c>
      <c r="EW47" s="470"/>
      <c r="EX47" s="50">
        <v>0</v>
      </c>
      <c r="EY47" s="50">
        <v>0</v>
      </c>
      <c r="EZ47" s="50">
        <v>0</v>
      </c>
      <c r="FA47" s="50">
        <v>25.200000000000728</v>
      </c>
      <c r="FB47" s="470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0"/>
      <c r="FH47" s="50">
        <v>0</v>
      </c>
      <c r="FI47" s="50">
        <v>143.75</v>
      </c>
      <c r="FJ47" s="50">
        <v>141.375</v>
      </c>
      <c r="FK47" s="50">
        <v>16.299999999999272</v>
      </c>
      <c r="FL47" s="470"/>
      <c r="FM47" s="50">
        <v>0</v>
      </c>
      <c r="FN47" s="50">
        <v>0</v>
      </c>
      <c r="FO47" s="50">
        <v>0</v>
      </c>
      <c r="FP47" s="50">
        <v>176.89999999999964</v>
      </c>
      <c r="FQ47" s="470"/>
      <c r="FR47" s="50">
        <v>0</v>
      </c>
      <c r="FS47" s="50">
        <v>0</v>
      </c>
      <c r="FT47" s="50">
        <v>0</v>
      </c>
      <c r="FU47" s="50">
        <v>360.79999999999745</v>
      </c>
      <c r="FV47" s="470"/>
      <c r="FW47" s="50">
        <v>0</v>
      </c>
      <c r="FX47" s="50">
        <v>0</v>
      </c>
      <c r="FY47" s="50">
        <v>0</v>
      </c>
      <c r="FZ47" s="50">
        <v>0</v>
      </c>
      <c r="GA47" s="470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0"/>
      <c r="GG47" s="50">
        <v>0</v>
      </c>
      <c r="GH47" s="50">
        <v>0</v>
      </c>
      <c r="GI47" s="50">
        <v>0</v>
      </c>
      <c r="GJ47" s="50">
        <v>0</v>
      </c>
      <c r="GK47" s="470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0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0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3380</v>
      </c>
      <c r="B48" s="46">
        <f t="shared" si="1"/>
        <v>6790.8500000000022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0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0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0"/>
      <c r="S48" s="458">
        <v>0</v>
      </c>
      <c r="T48" s="50">
        <v>0</v>
      </c>
      <c r="U48" s="508">
        <v>0</v>
      </c>
      <c r="V48" s="50">
        <f>'Punten per wedstrijd'!F47</f>
        <v>380.49999999999955</v>
      </c>
      <c r="W48" s="470"/>
      <c r="X48" s="50">
        <v>0</v>
      </c>
      <c r="Y48" s="50">
        <v>0</v>
      </c>
      <c r="Z48" s="50">
        <v>0</v>
      </c>
      <c r="AA48" s="50">
        <v>179.09999999999945</v>
      </c>
      <c r="AB48" s="470"/>
      <c r="AC48" s="50">
        <v>0</v>
      </c>
      <c r="AD48" s="50">
        <v>0</v>
      </c>
      <c r="AE48" s="50">
        <v>0</v>
      </c>
      <c r="AF48" s="50">
        <v>631.19999999999936</v>
      </c>
      <c r="AG48" s="470"/>
      <c r="AH48" s="50">
        <v>0</v>
      </c>
      <c r="AI48" s="50">
        <v>0</v>
      </c>
      <c r="AJ48" s="50">
        <v>0</v>
      </c>
      <c r="AK48" s="50">
        <v>593.44999999999982</v>
      </c>
      <c r="AL48" s="470"/>
      <c r="AM48" s="458">
        <v>0</v>
      </c>
      <c r="AN48" s="458">
        <v>0</v>
      </c>
      <c r="AO48" s="458">
        <v>0</v>
      </c>
      <c r="AP48" s="50">
        <v>860.35000000000082</v>
      </c>
      <c r="AQ48" s="470"/>
      <c r="AR48" s="50">
        <v>0</v>
      </c>
      <c r="AS48" s="50">
        <v>0</v>
      </c>
      <c r="AT48" s="50">
        <v>0</v>
      </c>
      <c r="AU48" s="50">
        <v>380.6</v>
      </c>
      <c r="AV48" s="470"/>
      <c r="AW48" s="50">
        <v>0</v>
      </c>
      <c r="AX48" s="50">
        <v>0</v>
      </c>
      <c r="AY48" s="50">
        <v>0</v>
      </c>
      <c r="AZ48" s="50">
        <v>834.00000000000273</v>
      </c>
      <c r="BA48" s="470"/>
      <c r="BB48" s="50">
        <v>0</v>
      </c>
      <c r="BC48" s="50">
        <v>0</v>
      </c>
      <c r="BD48" s="50">
        <v>0</v>
      </c>
      <c r="BE48" s="50">
        <v>600.5</v>
      </c>
      <c r="BF48" s="470"/>
      <c r="BG48" s="50">
        <v>0</v>
      </c>
      <c r="BH48" s="50">
        <v>0</v>
      </c>
      <c r="BI48" s="50">
        <v>0</v>
      </c>
      <c r="BJ48" s="50">
        <v>304.89999999999998</v>
      </c>
      <c r="BK48" s="470"/>
      <c r="BL48" s="50">
        <v>0</v>
      </c>
      <c r="BM48" s="50">
        <v>0</v>
      </c>
      <c r="BN48" s="50">
        <v>0</v>
      </c>
      <c r="BO48" s="518">
        <v>291.5</v>
      </c>
      <c r="BP48" s="470"/>
      <c r="BQ48" s="50">
        <v>0</v>
      </c>
      <c r="BR48" s="50">
        <v>0</v>
      </c>
      <c r="BS48" s="50">
        <v>0</v>
      </c>
      <c r="BT48" s="518">
        <v>613.85000000000127</v>
      </c>
      <c r="BU48" s="470"/>
      <c r="BV48" s="50"/>
      <c r="BW48" s="50"/>
      <c r="BX48" s="50"/>
      <c r="BY48" s="50"/>
      <c r="BZ48" s="470"/>
      <c r="CA48" s="50"/>
      <c r="CB48" s="50"/>
      <c r="CC48" s="50"/>
      <c r="CD48" s="50"/>
      <c r="CE48" s="470"/>
      <c r="CF48" s="50"/>
      <c r="CG48" s="50"/>
      <c r="CH48" s="50"/>
      <c r="CI48" s="50"/>
      <c r="CJ48" s="470"/>
      <c r="CK48" s="50"/>
      <c r="CL48" s="50"/>
      <c r="CM48" s="50"/>
      <c r="CN48" s="50"/>
      <c r="CO48" s="470"/>
      <c r="CP48" s="50"/>
      <c r="CQ48" s="50"/>
      <c r="CR48" s="50"/>
      <c r="CS48" s="50"/>
      <c r="CT48" s="470"/>
      <c r="CU48" s="50"/>
      <c r="CV48" s="50"/>
      <c r="CW48" s="50"/>
      <c r="CX48" s="50"/>
      <c r="CY48" s="470"/>
      <c r="CZ48" s="50"/>
      <c r="DA48" s="50"/>
      <c r="DB48" s="50"/>
      <c r="DC48" s="50"/>
      <c r="DD48" s="470"/>
      <c r="DE48" s="50"/>
      <c r="DF48" s="50"/>
      <c r="DG48" s="50"/>
      <c r="DH48" s="50"/>
      <c r="DI48" s="470"/>
      <c r="DJ48" s="50"/>
      <c r="DK48" s="50"/>
      <c r="DL48" s="50"/>
      <c r="DM48" s="50"/>
      <c r="DN48" s="470"/>
      <c r="DO48" s="50"/>
      <c r="DP48" s="50"/>
      <c r="DQ48" s="50"/>
      <c r="DR48" s="50"/>
      <c r="DS48" s="470"/>
      <c r="DT48" s="50"/>
      <c r="DU48" s="50"/>
      <c r="DV48" s="50"/>
      <c r="DW48" s="50"/>
      <c r="DX48" s="470"/>
      <c r="DY48" s="50"/>
      <c r="DZ48" s="50"/>
      <c r="EA48" s="50"/>
      <c r="EB48" s="50"/>
      <c r="EC48" s="470"/>
      <c r="ED48" s="50"/>
      <c r="EE48" s="50"/>
      <c r="EF48" s="50"/>
      <c r="EG48" s="50"/>
      <c r="EH48" s="470"/>
      <c r="EI48" s="50"/>
      <c r="EJ48" s="50"/>
      <c r="EK48" s="50"/>
      <c r="EL48" s="50"/>
      <c r="EM48" s="470"/>
      <c r="EN48" s="50"/>
      <c r="EO48" s="50"/>
      <c r="EP48" s="50"/>
      <c r="EQ48" s="50"/>
      <c r="ER48" s="470"/>
      <c r="ES48" s="50"/>
      <c r="ET48" s="50"/>
      <c r="EU48" s="50"/>
      <c r="EV48" s="50"/>
      <c r="EW48" s="470"/>
      <c r="EX48" s="50"/>
      <c r="EY48" s="50"/>
      <c r="EZ48" s="50"/>
      <c r="FA48" s="50"/>
      <c r="FB48" s="470"/>
      <c r="FC48" s="50"/>
      <c r="FD48" s="50"/>
      <c r="FE48" s="50"/>
      <c r="FF48" s="50"/>
      <c r="FG48" s="470"/>
      <c r="FH48" s="50"/>
      <c r="FI48" s="50"/>
      <c r="FJ48" s="50"/>
      <c r="FK48" s="50"/>
      <c r="FL48" s="470"/>
      <c r="FM48" s="50"/>
      <c r="FN48" s="50"/>
      <c r="FO48" s="50"/>
      <c r="FP48" s="50"/>
      <c r="FQ48" s="470"/>
      <c r="FR48" s="50"/>
      <c r="FS48" s="50"/>
      <c r="FT48" s="50"/>
      <c r="FU48" s="50"/>
      <c r="FV48" s="470"/>
      <c r="FW48" s="50"/>
      <c r="FX48" s="50"/>
      <c r="FY48" s="50"/>
      <c r="FZ48" s="50"/>
      <c r="GA48" s="470"/>
      <c r="GB48" s="50"/>
      <c r="GC48" s="50"/>
      <c r="GD48" s="50"/>
      <c r="GE48" s="50"/>
      <c r="GF48" s="470"/>
      <c r="GG48" s="50"/>
      <c r="GH48" s="50"/>
      <c r="GI48" s="50"/>
      <c r="GJ48" s="50"/>
      <c r="GK48" s="470"/>
      <c r="GL48" s="50"/>
      <c r="GM48" s="50"/>
      <c r="GN48" s="50"/>
      <c r="GO48" s="50"/>
      <c r="GP48" s="470"/>
      <c r="GQ48" s="50"/>
      <c r="GR48" s="50"/>
      <c r="GS48" s="50"/>
      <c r="GT48" s="50"/>
      <c r="GU48" s="470"/>
      <c r="HA48" s="464"/>
      <c r="HJ48" s="464"/>
      <c r="HS48" s="464"/>
      <c r="IB48" s="464"/>
      <c r="IK48" s="464"/>
      <c r="IT48" s="464"/>
      <c r="JC48" s="464"/>
      <c r="JL48" s="464"/>
      <c r="JU48" s="464"/>
      <c r="KD48" s="464"/>
      <c r="KM48" s="464"/>
      <c r="KV48" s="464"/>
      <c r="LE48" s="464"/>
      <c r="MF48" s="464"/>
      <c r="MO48" s="464"/>
      <c r="MX48" s="464"/>
      <c r="NG48" s="464"/>
      <c r="NP48" s="464"/>
      <c r="NY48" s="464"/>
      <c r="OE48" s="37"/>
    </row>
    <row r="49" spans="1:396" ht="18">
      <c r="A49" s="41" t="s">
        <v>800</v>
      </c>
      <c r="B49" s="46">
        <f t="shared" si="1"/>
        <v>58095.87499999992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0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0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0"/>
      <c r="S49" s="458">
        <v>70.125</v>
      </c>
      <c r="T49" s="50">
        <v>177.60000000000002</v>
      </c>
      <c r="U49" s="508">
        <v>134.99999999999966</v>
      </c>
      <c r="V49" s="50">
        <f>'Punten per wedstrijd'!F48</f>
        <v>293.29999999999927</v>
      </c>
      <c r="W49" s="470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0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70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0"/>
      <c r="AM49" s="458">
        <v>119.1999999999997</v>
      </c>
      <c r="AN49" s="458">
        <v>197.59999999999945</v>
      </c>
      <c r="AO49" s="458">
        <v>155.92499999999905</v>
      </c>
      <c r="AP49" s="50">
        <v>586.05000000000018</v>
      </c>
      <c r="AQ49" s="470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70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70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70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70"/>
      <c r="BL49" s="50">
        <v>0</v>
      </c>
      <c r="BM49" s="50">
        <v>8.8499999999994543</v>
      </c>
      <c r="BN49" s="50">
        <v>139.12499999999932</v>
      </c>
      <c r="BO49" s="518">
        <v>266</v>
      </c>
      <c r="BP49" s="470"/>
      <c r="BQ49" s="50">
        <v>56.999999999999545</v>
      </c>
      <c r="BR49" s="50">
        <v>174.64999999999873</v>
      </c>
      <c r="BS49" s="50">
        <v>110.47499999999945</v>
      </c>
      <c r="BT49" s="518">
        <v>556.70000000000073</v>
      </c>
      <c r="BU49" s="470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0"/>
      <c r="CA49" s="50">
        <v>50.187499999999773</v>
      </c>
      <c r="CB49" s="50">
        <v>0</v>
      </c>
      <c r="CC49" s="50">
        <v>206.99999999999454</v>
      </c>
      <c r="CD49" s="50">
        <v>130</v>
      </c>
      <c r="CE49" s="470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0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0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0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0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0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0"/>
      <c r="DJ49" s="50">
        <v>124.337500000001</v>
      </c>
      <c r="DK49" s="50">
        <v>0</v>
      </c>
      <c r="DL49" s="50">
        <v>0</v>
      </c>
      <c r="DM49" s="50">
        <v>0</v>
      </c>
      <c r="DN49" s="470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0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0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0"/>
      <c r="ED49" s="50">
        <v>46.949999999998909</v>
      </c>
      <c r="EE49" s="50">
        <v>0</v>
      </c>
      <c r="EF49" s="50">
        <v>0</v>
      </c>
      <c r="EG49" s="50">
        <v>0</v>
      </c>
      <c r="EH49" s="470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0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0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0"/>
      <c r="EX49" s="50">
        <v>110.46249999999964</v>
      </c>
      <c r="EY49" s="50">
        <v>0</v>
      </c>
      <c r="EZ49" s="50">
        <v>0</v>
      </c>
      <c r="FA49" s="50">
        <v>227.5</v>
      </c>
      <c r="FB49" s="470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0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0"/>
      <c r="FM49" s="50">
        <v>80.624999999998181</v>
      </c>
      <c r="FN49" s="50">
        <v>0</v>
      </c>
      <c r="FO49" s="50">
        <v>0</v>
      </c>
      <c r="FP49" s="50">
        <v>282.50000000000728</v>
      </c>
      <c r="FQ49" s="470"/>
      <c r="FR49" s="50">
        <v>65.362499999999272</v>
      </c>
      <c r="FS49" s="50">
        <v>0</v>
      </c>
      <c r="FT49" s="50">
        <v>0</v>
      </c>
      <c r="FU49" s="50">
        <v>519.00000000000728</v>
      </c>
      <c r="FV49" s="470"/>
      <c r="FW49" s="50">
        <v>42.9249999999995</v>
      </c>
      <c r="FX49" s="50">
        <v>0</v>
      </c>
      <c r="FY49" s="50">
        <v>0</v>
      </c>
      <c r="FZ49" s="50">
        <v>0</v>
      </c>
      <c r="GA49" s="470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0"/>
      <c r="GG49" s="50">
        <v>161.425000000002</v>
      </c>
      <c r="GH49" s="50">
        <v>0</v>
      </c>
      <c r="GI49" s="50">
        <v>0</v>
      </c>
      <c r="GJ49" s="50">
        <v>0</v>
      </c>
      <c r="GK49" s="470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0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0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4520</v>
      </c>
      <c r="B50" s="46">
        <f t="shared" si="1"/>
        <v>25396.050000000087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0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0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0"/>
      <c r="S50" s="458">
        <v>0</v>
      </c>
      <c r="T50" s="50">
        <v>0</v>
      </c>
      <c r="U50" s="508">
        <v>226.57499999999976</v>
      </c>
      <c r="V50" s="50">
        <f>'Punten per wedstrijd'!F49</f>
        <v>386.99999999999955</v>
      </c>
      <c r="W50" s="470"/>
      <c r="X50" s="50">
        <v>0</v>
      </c>
      <c r="Y50" s="50">
        <v>0</v>
      </c>
      <c r="Z50" s="50">
        <v>283.12499999999983</v>
      </c>
      <c r="AA50" s="50">
        <v>193.49999999999955</v>
      </c>
      <c r="AB50" s="470"/>
      <c r="AC50" s="50">
        <v>0</v>
      </c>
      <c r="AD50" s="50">
        <v>0</v>
      </c>
      <c r="AE50" s="50">
        <v>497.8499999999998</v>
      </c>
      <c r="AF50" s="50">
        <v>906.89999999999964</v>
      </c>
      <c r="AG50" s="470"/>
      <c r="AH50" s="50">
        <v>0</v>
      </c>
      <c r="AI50" s="50">
        <v>0</v>
      </c>
      <c r="AJ50" s="50">
        <v>781.04999999999893</v>
      </c>
      <c r="AK50" s="50">
        <v>452.89999999999964</v>
      </c>
      <c r="AL50" s="470"/>
      <c r="AM50" s="458">
        <v>0</v>
      </c>
      <c r="AN50" s="458">
        <v>0</v>
      </c>
      <c r="AO50" s="458">
        <v>200.96249999999918</v>
      </c>
      <c r="AP50" s="50">
        <v>294.40000000000055</v>
      </c>
      <c r="AQ50" s="470"/>
      <c r="AR50" s="50">
        <v>0</v>
      </c>
      <c r="AS50" s="50">
        <v>0</v>
      </c>
      <c r="AT50" s="50">
        <v>112.5</v>
      </c>
      <c r="AU50" s="50">
        <v>421.5</v>
      </c>
      <c r="AV50" s="470"/>
      <c r="AW50" s="50">
        <v>0</v>
      </c>
      <c r="AX50" s="50">
        <v>0</v>
      </c>
      <c r="AY50" s="50">
        <v>199.65000000000123</v>
      </c>
      <c r="AZ50" s="50">
        <v>576.59999999999764</v>
      </c>
      <c r="BA50" s="470"/>
      <c r="BB50" s="50">
        <v>0</v>
      </c>
      <c r="BC50" s="50">
        <v>0</v>
      </c>
      <c r="BD50" s="50">
        <v>241.72500000000082</v>
      </c>
      <c r="BE50" s="50">
        <v>389.8</v>
      </c>
      <c r="BF50" s="470"/>
      <c r="BG50" s="50">
        <v>0</v>
      </c>
      <c r="BH50" s="50">
        <v>0</v>
      </c>
      <c r="BI50" s="50">
        <v>160.20000000000095</v>
      </c>
      <c r="BJ50" s="50">
        <v>230.29999999999998</v>
      </c>
      <c r="BK50" s="470"/>
      <c r="BL50" s="50">
        <v>0</v>
      </c>
      <c r="BM50" s="50">
        <v>0</v>
      </c>
      <c r="BN50" s="50">
        <v>315.18750000000136</v>
      </c>
      <c r="BO50" s="518">
        <v>238.7</v>
      </c>
      <c r="BP50" s="470"/>
      <c r="BQ50" s="50">
        <v>0</v>
      </c>
      <c r="BR50" s="50">
        <v>0</v>
      </c>
      <c r="BS50" s="50">
        <v>176.96250000000191</v>
      </c>
      <c r="BT50" s="518">
        <v>504.29999999999745</v>
      </c>
      <c r="BU50" s="470"/>
      <c r="BV50" s="50">
        <v>0</v>
      </c>
      <c r="BW50" s="50">
        <v>0</v>
      </c>
      <c r="BX50" s="50">
        <v>0</v>
      </c>
      <c r="BY50" s="50">
        <v>697.30000000000109</v>
      </c>
      <c r="BZ50" s="470"/>
      <c r="CA50" s="50">
        <v>0</v>
      </c>
      <c r="CB50" s="50">
        <v>0</v>
      </c>
      <c r="CC50" s="50">
        <v>0</v>
      </c>
      <c r="CD50" s="50">
        <v>142.20000000000073</v>
      </c>
      <c r="CE50" s="470"/>
      <c r="CF50" s="50">
        <v>0</v>
      </c>
      <c r="CG50" s="50">
        <v>0</v>
      </c>
      <c r="CH50" s="50">
        <v>0</v>
      </c>
      <c r="CI50" s="50">
        <v>211.50000000000182</v>
      </c>
      <c r="CJ50" s="470"/>
      <c r="CK50" s="50">
        <v>0</v>
      </c>
      <c r="CL50" s="50">
        <v>0</v>
      </c>
      <c r="CM50" s="50">
        <v>0</v>
      </c>
      <c r="CN50" s="50">
        <v>300.05000000000018</v>
      </c>
      <c r="CO50" s="470"/>
      <c r="CP50" s="50">
        <v>0</v>
      </c>
      <c r="CQ50" s="50">
        <v>0</v>
      </c>
      <c r="CR50" s="50">
        <v>0</v>
      </c>
      <c r="CS50" s="50">
        <v>433.30000000000018</v>
      </c>
      <c r="CT50" s="470"/>
      <c r="CU50" s="50">
        <v>0</v>
      </c>
      <c r="CV50" s="50">
        <v>0</v>
      </c>
      <c r="CW50" s="50">
        <v>0</v>
      </c>
      <c r="CX50" s="50">
        <v>550.20000000000437</v>
      </c>
      <c r="CY50" s="470"/>
      <c r="CZ50" s="50">
        <v>0</v>
      </c>
      <c r="DA50" s="50">
        <v>0</v>
      </c>
      <c r="DB50" s="50">
        <v>0</v>
      </c>
      <c r="DC50" s="50">
        <v>18.200000000004366</v>
      </c>
      <c r="DD50" s="470"/>
      <c r="DE50" s="50">
        <v>0</v>
      </c>
      <c r="DF50" s="50">
        <v>0</v>
      </c>
      <c r="DG50" s="50">
        <v>0</v>
      </c>
      <c r="DH50" s="50">
        <v>2194.9</v>
      </c>
      <c r="DI50" s="470"/>
      <c r="DJ50" s="50">
        <v>0</v>
      </c>
      <c r="DK50" s="50">
        <v>0</v>
      </c>
      <c r="DL50" s="50">
        <v>0</v>
      </c>
      <c r="DM50" s="50">
        <v>0</v>
      </c>
      <c r="DN50" s="470"/>
      <c r="DO50" s="50">
        <v>0</v>
      </c>
      <c r="DP50" s="50">
        <v>0</v>
      </c>
      <c r="DQ50" s="50">
        <v>0</v>
      </c>
      <c r="DR50" s="50">
        <v>858.70000000000073</v>
      </c>
      <c r="DS50" s="470"/>
      <c r="DT50" s="50">
        <v>0</v>
      </c>
      <c r="DU50" s="50">
        <v>0</v>
      </c>
      <c r="DV50" s="50">
        <v>0</v>
      </c>
      <c r="DW50" s="50">
        <v>296.20000000000073</v>
      </c>
      <c r="DX50" s="470"/>
      <c r="DY50" s="50">
        <v>0</v>
      </c>
      <c r="DZ50" s="50">
        <v>0</v>
      </c>
      <c r="EA50" s="50">
        <v>0</v>
      </c>
      <c r="EB50" s="50">
        <v>4109.350000000044</v>
      </c>
      <c r="EC50" s="470"/>
      <c r="ED50" s="50">
        <v>0</v>
      </c>
      <c r="EE50" s="50">
        <v>0</v>
      </c>
      <c r="EF50" s="50">
        <v>0</v>
      </c>
      <c r="EG50" s="50">
        <v>0</v>
      </c>
      <c r="EH50" s="470"/>
      <c r="EI50" s="50">
        <v>0</v>
      </c>
      <c r="EJ50" s="50">
        <v>0</v>
      </c>
      <c r="EK50" s="50">
        <v>0</v>
      </c>
      <c r="EL50" s="50">
        <v>291.80000000000655</v>
      </c>
      <c r="EM50" s="470"/>
      <c r="EN50" s="50">
        <v>0</v>
      </c>
      <c r="EO50" s="50">
        <v>0</v>
      </c>
      <c r="EP50" s="50">
        <v>0</v>
      </c>
      <c r="EQ50" s="50">
        <v>316.00000000000364</v>
      </c>
      <c r="ER50" s="470"/>
      <c r="ES50" s="50">
        <v>0</v>
      </c>
      <c r="ET50" s="50">
        <v>0</v>
      </c>
      <c r="EU50" s="50">
        <v>0</v>
      </c>
      <c r="EV50" s="50">
        <v>0</v>
      </c>
      <c r="EW50" s="470"/>
      <c r="EX50" s="50">
        <v>0</v>
      </c>
      <c r="EY50" s="50">
        <v>0</v>
      </c>
      <c r="EZ50" s="50">
        <v>0</v>
      </c>
      <c r="FA50" s="50">
        <v>248.90000000000509</v>
      </c>
      <c r="FB50" s="470"/>
      <c r="FC50" s="50">
        <v>0</v>
      </c>
      <c r="FD50" s="50">
        <v>0</v>
      </c>
      <c r="FE50" s="50">
        <v>0</v>
      </c>
      <c r="FF50" s="50">
        <v>2666.4</v>
      </c>
      <c r="FG50" s="470"/>
      <c r="FH50" s="50">
        <v>0</v>
      </c>
      <c r="FI50" s="50">
        <v>0</v>
      </c>
      <c r="FJ50" s="50">
        <v>0</v>
      </c>
      <c r="FK50" s="50">
        <v>262.60000000000582</v>
      </c>
      <c r="FL50" s="470"/>
      <c r="FM50" s="50">
        <v>0</v>
      </c>
      <c r="FN50" s="50">
        <v>0</v>
      </c>
      <c r="FO50" s="50">
        <v>0</v>
      </c>
      <c r="FP50" s="50">
        <v>113.10000000000218</v>
      </c>
      <c r="FQ50" s="470"/>
      <c r="FR50" s="50">
        <v>0</v>
      </c>
      <c r="FS50" s="50">
        <v>0</v>
      </c>
      <c r="FT50" s="50">
        <v>0</v>
      </c>
      <c r="FU50" s="50">
        <v>440.00000000000364</v>
      </c>
      <c r="FV50" s="470"/>
      <c r="FW50" s="50">
        <v>0</v>
      </c>
      <c r="FX50" s="50">
        <v>0</v>
      </c>
      <c r="FY50" s="50">
        <v>0</v>
      </c>
      <c r="FZ50" s="50">
        <v>0</v>
      </c>
      <c r="GA50" s="470"/>
      <c r="GB50" s="50">
        <v>0</v>
      </c>
      <c r="GC50" s="50">
        <v>0</v>
      </c>
      <c r="GD50" s="50">
        <v>0</v>
      </c>
      <c r="GE50" s="50">
        <v>270.20000000000073</v>
      </c>
      <c r="GF50" s="470"/>
      <c r="GG50" s="50">
        <v>0</v>
      </c>
      <c r="GH50" s="50">
        <v>0</v>
      </c>
      <c r="GI50" s="50">
        <v>0</v>
      </c>
      <c r="GJ50" s="50">
        <v>0</v>
      </c>
      <c r="GK50" s="470"/>
      <c r="GL50" s="50">
        <v>0</v>
      </c>
      <c r="GM50" s="50">
        <v>0</v>
      </c>
      <c r="GN50" s="50">
        <v>0</v>
      </c>
      <c r="GO50" s="50">
        <v>971.00000000000364</v>
      </c>
      <c r="GP50" s="470"/>
      <c r="GQ50" s="50">
        <v>0</v>
      </c>
      <c r="GR50" s="50">
        <v>0</v>
      </c>
      <c r="GS50" s="50">
        <v>0</v>
      </c>
      <c r="GT50" s="50">
        <v>239.5</v>
      </c>
      <c r="GU50" s="470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49448.162499999853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0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0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0"/>
      <c r="S51" s="458">
        <v>47.249999999999886</v>
      </c>
      <c r="T51" s="50">
        <v>127.54999999999995</v>
      </c>
      <c r="U51" s="508">
        <v>316.80000000000024</v>
      </c>
      <c r="V51" s="50">
        <f>'Punten per wedstrijd'!F50</f>
        <v>541.00000000000068</v>
      </c>
      <c r="W51" s="470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0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70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0"/>
      <c r="AM51" s="458">
        <v>122.64999999999986</v>
      </c>
      <c r="AN51" s="458">
        <v>192.25</v>
      </c>
      <c r="AO51" s="458">
        <v>310.46249999999986</v>
      </c>
      <c r="AP51" s="50">
        <v>710.80000000000018</v>
      </c>
      <c r="AQ51" s="470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70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70"/>
      <c r="BB51" s="50">
        <v>0</v>
      </c>
      <c r="BC51" s="50">
        <v>148.15000000000009</v>
      </c>
      <c r="BD51" s="50">
        <v>282</v>
      </c>
      <c r="BE51" s="50">
        <v>627.00000000000011</v>
      </c>
      <c r="BF51" s="470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70"/>
      <c r="BL51" s="50">
        <v>0</v>
      </c>
      <c r="BM51" s="50">
        <v>98.699999999999818</v>
      </c>
      <c r="BN51" s="50">
        <v>291.7124999999985</v>
      </c>
      <c r="BO51" s="518">
        <v>305.7</v>
      </c>
      <c r="BP51" s="470"/>
      <c r="BQ51" s="50">
        <v>114.375</v>
      </c>
      <c r="BR51" s="50">
        <v>202.55000000000018</v>
      </c>
      <c r="BS51" s="50">
        <v>478.16249999999945</v>
      </c>
      <c r="BT51" s="518">
        <v>568.5</v>
      </c>
      <c r="BU51" s="470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0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0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0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0"/>
      <c r="CP51" s="50">
        <v>58.399999999999636</v>
      </c>
      <c r="CQ51" s="50">
        <v>203.75</v>
      </c>
      <c r="CR51" s="50">
        <v>417.375</v>
      </c>
      <c r="CS51" s="50">
        <v>427.5</v>
      </c>
      <c r="CT51" s="470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0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0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0"/>
      <c r="DJ51" s="50">
        <v>55.300000000000182</v>
      </c>
      <c r="DK51" s="50">
        <v>0</v>
      </c>
      <c r="DL51" s="50">
        <v>0</v>
      </c>
      <c r="DM51" s="50">
        <v>0</v>
      </c>
      <c r="DN51" s="470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0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0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0"/>
      <c r="ED51" s="50">
        <v>0</v>
      </c>
      <c r="EE51" s="50">
        <v>0</v>
      </c>
      <c r="EF51" s="50">
        <v>0</v>
      </c>
      <c r="EG51" s="50">
        <v>0</v>
      </c>
      <c r="EH51" s="470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0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0"/>
      <c r="ES51" s="50">
        <v>79.499999999999091</v>
      </c>
      <c r="ET51" s="50">
        <v>315</v>
      </c>
      <c r="EU51" s="50">
        <v>404.69999999999891</v>
      </c>
      <c r="EV51" s="50">
        <v>0</v>
      </c>
      <c r="EW51" s="470"/>
      <c r="EX51" s="50">
        <v>82.924999999998363</v>
      </c>
      <c r="EY51" s="50">
        <v>0</v>
      </c>
      <c r="EZ51" s="50">
        <v>0</v>
      </c>
      <c r="FA51" s="50">
        <v>165.09999999999491</v>
      </c>
      <c r="FB51" s="470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0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0"/>
      <c r="FM51" s="50">
        <v>97.049999999996544</v>
      </c>
      <c r="FN51" s="50">
        <v>0</v>
      </c>
      <c r="FO51" s="50">
        <v>0</v>
      </c>
      <c r="FP51" s="50">
        <v>111.299999999992</v>
      </c>
      <c r="FQ51" s="470"/>
      <c r="FR51" s="50">
        <v>100.92499999999836</v>
      </c>
      <c r="FS51" s="50">
        <v>0</v>
      </c>
      <c r="FT51" s="50">
        <v>0</v>
      </c>
      <c r="FU51" s="50">
        <v>408.10000000000218</v>
      </c>
      <c r="FV51" s="470"/>
      <c r="FW51" s="50">
        <v>42.674999999999727</v>
      </c>
      <c r="FX51" s="50">
        <v>0</v>
      </c>
      <c r="FY51" s="50">
        <v>0</v>
      </c>
      <c r="FZ51" s="50">
        <v>0</v>
      </c>
      <c r="GA51" s="470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0"/>
      <c r="GG51" s="50">
        <v>48.225000000000364</v>
      </c>
      <c r="GH51" s="50">
        <v>0</v>
      </c>
      <c r="GI51" s="50">
        <v>0</v>
      </c>
      <c r="GJ51" s="50">
        <v>0</v>
      </c>
      <c r="GK51" s="470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0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0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61701.687499999782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0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0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0"/>
      <c r="S52" s="458">
        <v>56.624999999999773</v>
      </c>
      <c r="T52" s="50">
        <v>51.699999999999704</v>
      </c>
      <c r="U52" s="508">
        <v>143.99999999999966</v>
      </c>
      <c r="V52" s="50">
        <f>'Punten per wedstrijd'!F51</f>
        <v>255.69999999999982</v>
      </c>
      <c r="W52" s="470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0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70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0"/>
      <c r="AM52" s="458">
        <v>127.57499999999982</v>
      </c>
      <c r="AN52" s="458">
        <v>230.15000000000055</v>
      </c>
      <c r="AO52" s="458">
        <v>307.6499999999985</v>
      </c>
      <c r="AP52" s="50">
        <v>595.49999999999909</v>
      </c>
      <c r="AQ52" s="470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70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70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70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70"/>
      <c r="BL52" s="50">
        <v>0</v>
      </c>
      <c r="BM52" s="50">
        <v>54.75</v>
      </c>
      <c r="BN52" s="50">
        <v>188.625</v>
      </c>
      <c r="BO52" s="518">
        <v>116</v>
      </c>
      <c r="BP52" s="470"/>
      <c r="BQ52" s="50">
        <v>46.374999999999545</v>
      </c>
      <c r="BR52" s="50">
        <v>206.79999999999973</v>
      </c>
      <c r="BS52" s="50">
        <v>206.24999999999864</v>
      </c>
      <c r="BT52" s="518">
        <v>452.49999999999818</v>
      </c>
      <c r="BU52" s="470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0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0"/>
      <c r="CF52" s="50">
        <v>71.900000000000091</v>
      </c>
      <c r="CG52" s="50">
        <v>0</v>
      </c>
      <c r="CH52" s="50">
        <v>421.34999999999945</v>
      </c>
      <c r="CI52" s="50">
        <v>100</v>
      </c>
      <c r="CJ52" s="470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0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0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0"/>
      <c r="CZ52" s="50">
        <v>8.5749999999989086</v>
      </c>
      <c r="DA52" s="50">
        <v>0</v>
      </c>
      <c r="DB52" s="50">
        <v>79.199999999998909</v>
      </c>
      <c r="DC52" s="50">
        <v>36</v>
      </c>
      <c r="DD52" s="470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0"/>
      <c r="DJ52" s="50">
        <v>127.99999999999955</v>
      </c>
      <c r="DK52" s="50">
        <v>0</v>
      </c>
      <c r="DL52" s="50">
        <v>0</v>
      </c>
      <c r="DM52" s="50">
        <v>0</v>
      </c>
      <c r="DN52" s="470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0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0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0"/>
      <c r="ED52" s="50">
        <v>0</v>
      </c>
      <c r="EE52" s="50">
        <v>0</v>
      </c>
      <c r="EF52" s="50">
        <v>0</v>
      </c>
      <c r="EG52" s="50">
        <v>0</v>
      </c>
      <c r="EH52" s="470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0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0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0"/>
      <c r="EX52" s="50">
        <v>23.225000000000364</v>
      </c>
      <c r="EY52" s="50">
        <v>0</v>
      </c>
      <c r="EZ52" s="50">
        <v>0</v>
      </c>
      <c r="FA52" s="50">
        <v>375.5</v>
      </c>
      <c r="FB52" s="470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0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0"/>
      <c r="FM52" s="50">
        <v>100.37500000000182</v>
      </c>
      <c r="FN52" s="50">
        <v>0</v>
      </c>
      <c r="FO52" s="50">
        <v>0</v>
      </c>
      <c r="FP52" s="50">
        <v>395</v>
      </c>
      <c r="FQ52" s="470"/>
      <c r="FR52" s="50">
        <v>45.625000000000909</v>
      </c>
      <c r="FS52" s="50">
        <v>0</v>
      </c>
      <c r="FT52" s="50">
        <v>0</v>
      </c>
      <c r="FU52" s="50">
        <v>346.40000000000146</v>
      </c>
      <c r="FV52" s="470"/>
      <c r="FW52" s="50">
        <v>2.1000000000001364</v>
      </c>
      <c r="FX52" s="50">
        <v>0</v>
      </c>
      <c r="FY52" s="50">
        <v>0</v>
      </c>
      <c r="FZ52" s="50">
        <v>0</v>
      </c>
      <c r="GA52" s="470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0"/>
      <c r="GG52" s="50">
        <v>127.57500000000164</v>
      </c>
      <c r="GH52" s="50">
        <v>0</v>
      </c>
      <c r="GI52" s="50">
        <v>0</v>
      </c>
      <c r="GJ52" s="50">
        <v>0</v>
      </c>
      <c r="GK52" s="470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0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0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54089.149999999812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0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0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0"/>
      <c r="S53" s="458">
        <v>48.050000000000068</v>
      </c>
      <c r="T53" s="50">
        <v>103.79999999999984</v>
      </c>
      <c r="U53" s="508">
        <v>132.07500000000044</v>
      </c>
      <c r="V53" s="50">
        <f>'Punten per wedstrijd'!F52</f>
        <v>121.89999999999918</v>
      </c>
      <c r="W53" s="470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0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70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0"/>
      <c r="AM53" s="458">
        <v>74.100000000000023</v>
      </c>
      <c r="AN53" s="458">
        <v>230.65000000000009</v>
      </c>
      <c r="AO53" s="458">
        <v>456.97499999999945</v>
      </c>
      <c r="AP53" s="50">
        <v>411.59999999999945</v>
      </c>
      <c r="AQ53" s="470"/>
      <c r="AR53" s="50">
        <v>0</v>
      </c>
      <c r="AS53" s="50">
        <v>14.699999999999818</v>
      </c>
      <c r="AT53" s="50">
        <v>469.57500000000027</v>
      </c>
      <c r="AU53" s="50">
        <v>97.5</v>
      </c>
      <c r="AV53" s="470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70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70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70"/>
      <c r="BL53" s="50">
        <v>0</v>
      </c>
      <c r="BM53" s="50">
        <v>100.70000000000118</v>
      </c>
      <c r="BN53" s="50">
        <v>324.29999999999905</v>
      </c>
      <c r="BO53" s="518">
        <v>71.7</v>
      </c>
      <c r="BP53" s="470"/>
      <c r="BQ53" s="50">
        <v>74.524999999998272</v>
      </c>
      <c r="BR53" s="50">
        <v>243.10000000000082</v>
      </c>
      <c r="BS53" s="50">
        <v>251.99999999999864</v>
      </c>
      <c r="BT53" s="518">
        <v>395.5</v>
      </c>
      <c r="BU53" s="470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0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0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0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0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0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0"/>
      <c r="CZ53" s="50">
        <v>9.75</v>
      </c>
      <c r="DA53" s="50">
        <v>0</v>
      </c>
      <c r="DB53" s="50">
        <v>193.724999999994</v>
      </c>
      <c r="DC53" s="50">
        <v>247.89999999999964</v>
      </c>
      <c r="DD53" s="470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0"/>
      <c r="DJ53" s="50">
        <v>143.70000000000073</v>
      </c>
      <c r="DK53" s="50">
        <v>0</v>
      </c>
      <c r="DL53" s="50">
        <v>0</v>
      </c>
      <c r="DM53" s="50">
        <v>0</v>
      </c>
      <c r="DN53" s="470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0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0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0"/>
      <c r="ED53" s="50">
        <v>0</v>
      </c>
      <c r="EE53" s="50">
        <v>0</v>
      </c>
      <c r="EF53" s="50">
        <v>0</v>
      </c>
      <c r="EG53" s="50">
        <v>0</v>
      </c>
      <c r="EH53" s="470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0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0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0"/>
      <c r="EX53" s="50">
        <v>26.750000000000909</v>
      </c>
      <c r="EY53" s="50">
        <v>0</v>
      </c>
      <c r="EZ53" s="50">
        <v>0</v>
      </c>
      <c r="FA53" s="50">
        <v>364.79999999999927</v>
      </c>
      <c r="FB53" s="470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0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0"/>
      <c r="FM53" s="50">
        <v>72.249999999999091</v>
      </c>
      <c r="FN53" s="50">
        <v>0</v>
      </c>
      <c r="FO53" s="50">
        <v>0</v>
      </c>
      <c r="FP53" s="50">
        <v>164.10000000000582</v>
      </c>
      <c r="FQ53" s="470"/>
      <c r="FR53" s="50">
        <v>19.199999999999818</v>
      </c>
      <c r="FS53" s="50">
        <v>0</v>
      </c>
      <c r="FT53" s="50">
        <v>0</v>
      </c>
      <c r="FU53" s="50">
        <v>305.30000000000655</v>
      </c>
      <c r="FV53" s="470"/>
      <c r="FW53" s="50">
        <v>72.150000000000091</v>
      </c>
      <c r="FX53" s="50">
        <v>0</v>
      </c>
      <c r="FY53" s="50">
        <v>0</v>
      </c>
      <c r="FZ53" s="50">
        <v>0</v>
      </c>
      <c r="GA53" s="470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0"/>
      <c r="GG53" s="50">
        <v>139.52499999999873</v>
      </c>
      <c r="GH53" s="50">
        <v>0</v>
      </c>
      <c r="GI53" s="50">
        <v>0</v>
      </c>
      <c r="GJ53" s="50">
        <v>0</v>
      </c>
      <c r="GK53" s="470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0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0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3373</v>
      </c>
      <c r="B54" s="46">
        <f t="shared" si="1"/>
        <v>5695.1000000000067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0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0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0"/>
      <c r="S54" s="458">
        <v>0</v>
      </c>
      <c r="T54" s="50">
        <v>0</v>
      </c>
      <c r="U54" s="508">
        <v>0</v>
      </c>
      <c r="V54" s="50">
        <f>'Punten per wedstrijd'!F53</f>
        <v>515</v>
      </c>
      <c r="W54" s="470"/>
      <c r="X54" s="50">
        <v>0</v>
      </c>
      <c r="Y54" s="50">
        <v>0</v>
      </c>
      <c r="Z54" s="50">
        <v>0</v>
      </c>
      <c r="AA54" s="50">
        <v>249.40000000000009</v>
      </c>
      <c r="AB54" s="470"/>
      <c r="AC54" s="50">
        <v>0</v>
      </c>
      <c r="AD54" s="50">
        <v>0</v>
      </c>
      <c r="AE54" s="50">
        <v>0</v>
      </c>
      <c r="AF54" s="50">
        <v>630.50000000000045</v>
      </c>
      <c r="AG54" s="470"/>
      <c r="AH54" s="50">
        <v>0</v>
      </c>
      <c r="AI54" s="50">
        <v>0</v>
      </c>
      <c r="AJ54" s="50">
        <v>0</v>
      </c>
      <c r="AK54" s="50">
        <v>601.99999999999955</v>
      </c>
      <c r="AL54" s="470"/>
      <c r="AM54" s="458">
        <v>0</v>
      </c>
      <c r="AN54" s="458">
        <v>0</v>
      </c>
      <c r="AO54" s="458">
        <v>0</v>
      </c>
      <c r="AP54" s="50">
        <v>491.00000000000045</v>
      </c>
      <c r="AQ54" s="470"/>
      <c r="AR54" s="50">
        <v>0</v>
      </c>
      <c r="AS54" s="50">
        <v>0</v>
      </c>
      <c r="AT54" s="50">
        <v>0</v>
      </c>
      <c r="AU54" s="50">
        <v>91</v>
      </c>
      <c r="AV54" s="470"/>
      <c r="AW54" s="50">
        <v>0</v>
      </c>
      <c r="AX54" s="50">
        <v>0</v>
      </c>
      <c r="AY54" s="50">
        <v>0</v>
      </c>
      <c r="AZ54" s="50">
        <v>645.70000000000346</v>
      </c>
      <c r="BA54" s="470"/>
      <c r="BB54" s="50">
        <v>0</v>
      </c>
      <c r="BC54" s="50">
        <v>0</v>
      </c>
      <c r="BD54" s="50">
        <v>0</v>
      </c>
      <c r="BE54" s="50">
        <v>512.6</v>
      </c>
      <c r="BF54" s="470"/>
      <c r="BG54" s="50">
        <v>0</v>
      </c>
      <c r="BH54" s="50">
        <v>0</v>
      </c>
      <c r="BI54" s="50">
        <v>0</v>
      </c>
      <c r="BJ54" s="50">
        <v>421.5</v>
      </c>
      <c r="BK54" s="470"/>
      <c r="BL54" s="50">
        <v>0</v>
      </c>
      <c r="BM54" s="50">
        <v>0</v>
      </c>
      <c r="BN54" s="50">
        <v>0</v>
      </c>
      <c r="BO54" s="518">
        <v>193.8</v>
      </c>
      <c r="BP54" s="470"/>
      <c r="BQ54" s="50">
        <v>0</v>
      </c>
      <c r="BR54" s="50">
        <v>0</v>
      </c>
      <c r="BS54" s="50">
        <v>0</v>
      </c>
      <c r="BT54" s="518">
        <v>514.60000000000218</v>
      </c>
      <c r="BU54" s="470"/>
      <c r="BV54" s="50"/>
      <c r="BW54" s="50"/>
      <c r="BX54" s="50"/>
      <c r="BY54" s="50"/>
      <c r="BZ54" s="470"/>
      <c r="CA54" s="50"/>
      <c r="CB54" s="50"/>
      <c r="CC54" s="50"/>
      <c r="CD54" s="50"/>
      <c r="CE54" s="470"/>
      <c r="CF54" s="50"/>
      <c r="CG54" s="50"/>
      <c r="CH54" s="50"/>
      <c r="CI54" s="50"/>
      <c r="CJ54" s="470"/>
      <c r="CK54" s="50"/>
      <c r="CL54" s="50"/>
      <c r="CM54" s="50"/>
      <c r="CN54" s="50"/>
      <c r="CO54" s="470"/>
      <c r="CP54" s="50"/>
      <c r="CQ54" s="50"/>
      <c r="CR54" s="50"/>
      <c r="CS54" s="50"/>
      <c r="CT54" s="470"/>
      <c r="CU54" s="50"/>
      <c r="CV54" s="50"/>
      <c r="CW54" s="50"/>
      <c r="CX54" s="50"/>
      <c r="CY54" s="470"/>
      <c r="CZ54" s="50"/>
      <c r="DA54" s="50"/>
      <c r="DB54" s="50"/>
      <c r="DC54" s="50"/>
      <c r="DD54" s="470"/>
      <c r="DE54" s="50"/>
      <c r="DF54" s="50"/>
      <c r="DG54" s="50"/>
      <c r="DH54" s="50"/>
      <c r="DI54" s="470"/>
      <c r="DJ54" s="50"/>
      <c r="DK54" s="50"/>
      <c r="DL54" s="50"/>
      <c r="DM54" s="50"/>
      <c r="DN54" s="470"/>
      <c r="DO54" s="50"/>
      <c r="DP54" s="50"/>
      <c r="DQ54" s="50"/>
      <c r="DR54" s="50"/>
      <c r="DS54" s="470"/>
      <c r="DT54" s="50"/>
      <c r="DU54" s="50"/>
      <c r="DV54" s="50"/>
      <c r="DW54" s="50"/>
      <c r="DX54" s="470"/>
      <c r="DY54" s="50"/>
      <c r="DZ54" s="50"/>
      <c r="EA54" s="50"/>
      <c r="EB54" s="50"/>
      <c r="EC54" s="470"/>
      <c r="ED54" s="50"/>
      <c r="EE54" s="50"/>
      <c r="EF54" s="50"/>
      <c r="EG54" s="50"/>
      <c r="EH54" s="470"/>
      <c r="EI54" s="50"/>
      <c r="EJ54" s="50"/>
      <c r="EK54" s="50"/>
      <c r="EL54" s="50"/>
      <c r="EM54" s="470"/>
      <c r="EN54" s="50"/>
      <c r="EO54" s="50"/>
      <c r="EP54" s="50"/>
      <c r="EQ54" s="50"/>
      <c r="ER54" s="470"/>
      <c r="ES54" s="50"/>
      <c r="ET54" s="50"/>
      <c r="EU54" s="50"/>
      <c r="EV54" s="50"/>
      <c r="EW54" s="470"/>
      <c r="EX54" s="50"/>
      <c r="EY54" s="50"/>
      <c r="EZ54" s="50"/>
      <c r="FA54" s="50"/>
      <c r="FB54" s="470"/>
      <c r="FC54" s="50"/>
      <c r="FD54" s="50"/>
      <c r="FE54" s="50"/>
      <c r="FF54" s="50"/>
      <c r="FG54" s="470"/>
      <c r="FH54" s="50"/>
      <c r="FI54" s="50"/>
      <c r="FJ54" s="50"/>
      <c r="FK54" s="50"/>
      <c r="FL54" s="470"/>
      <c r="FM54" s="50"/>
      <c r="FN54" s="50"/>
      <c r="FO54" s="50"/>
      <c r="FP54" s="50"/>
      <c r="FQ54" s="470"/>
      <c r="FR54" s="50"/>
      <c r="FS54" s="50"/>
      <c r="FT54" s="50"/>
      <c r="FU54" s="50"/>
      <c r="FV54" s="470"/>
      <c r="FW54" s="50"/>
      <c r="FX54" s="50"/>
      <c r="FY54" s="50"/>
      <c r="FZ54" s="50"/>
      <c r="GA54" s="470"/>
      <c r="GB54" s="50"/>
      <c r="GC54" s="50"/>
      <c r="GD54" s="50"/>
      <c r="GE54" s="50"/>
      <c r="GF54" s="470"/>
      <c r="GG54" s="50"/>
      <c r="GH54" s="50"/>
      <c r="GI54" s="50"/>
      <c r="GJ54" s="50"/>
      <c r="GK54" s="470"/>
      <c r="GL54" s="50"/>
      <c r="GM54" s="50"/>
      <c r="GN54" s="50"/>
      <c r="GO54" s="50"/>
      <c r="GP54" s="470"/>
      <c r="GQ54" s="50"/>
      <c r="GR54" s="50"/>
      <c r="GS54" s="50"/>
      <c r="GT54" s="50"/>
      <c r="GU54" s="470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2030</v>
      </c>
      <c r="B55" s="46">
        <f t="shared" si="1"/>
        <v>18408.800000000057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0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0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0"/>
      <c r="S55" s="458">
        <v>0</v>
      </c>
      <c r="T55" s="50">
        <v>0</v>
      </c>
      <c r="U55" s="508">
        <v>271.7999999999999</v>
      </c>
      <c r="V55" s="50">
        <f>'Punten per wedstrijd'!F54</f>
        <v>34.100000000000136</v>
      </c>
      <c r="W55" s="470"/>
      <c r="X55" s="50">
        <v>0</v>
      </c>
      <c r="Y55" s="50">
        <v>0</v>
      </c>
      <c r="Z55" s="50">
        <v>415.50000000000034</v>
      </c>
      <c r="AA55" s="50">
        <v>81.699999999999363</v>
      </c>
      <c r="AB55" s="470"/>
      <c r="AC55" s="50">
        <v>0</v>
      </c>
      <c r="AD55" s="50">
        <v>0</v>
      </c>
      <c r="AE55" s="50">
        <v>228.2249999999998</v>
      </c>
      <c r="AF55" s="50">
        <v>722.69999999999982</v>
      </c>
      <c r="AG55" s="470"/>
      <c r="AH55" s="50">
        <v>0</v>
      </c>
      <c r="AI55" s="50">
        <v>0</v>
      </c>
      <c r="AJ55" s="50">
        <v>424.6500000000006</v>
      </c>
      <c r="AK55" s="50">
        <v>640.80000000000018</v>
      </c>
      <c r="AL55" s="470"/>
      <c r="AM55" s="458">
        <v>0</v>
      </c>
      <c r="AN55" s="458">
        <v>0</v>
      </c>
      <c r="AO55" s="458">
        <v>374.70000000000095</v>
      </c>
      <c r="AP55" s="50">
        <v>383.60000000000036</v>
      </c>
      <c r="AQ55" s="470"/>
      <c r="AR55" s="50">
        <v>0</v>
      </c>
      <c r="AS55" s="50">
        <v>0</v>
      </c>
      <c r="AT55" s="50">
        <v>45.000000000001023</v>
      </c>
      <c r="AU55" s="50">
        <v>218</v>
      </c>
      <c r="AV55" s="470"/>
      <c r="AW55" s="50">
        <v>0</v>
      </c>
      <c r="AX55" s="50">
        <v>0</v>
      </c>
      <c r="AY55" s="50">
        <v>260.47500000000082</v>
      </c>
      <c r="AZ55" s="50">
        <v>865.99999999999909</v>
      </c>
      <c r="BA55" s="470"/>
      <c r="BB55" s="50">
        <v>0</v>
      </c>
      <c r="BC55" s="50">
        <v>0</v>
      </c>
      <c r="BD55" s="50">
        <v>165.00000000000136</v>
      </c>
      <c r="BE55" s="50">
        <v>419</v>
      </c>
      <c r="BF55" s="470"/>
      <c r="BG55" s="50">
        <v>0</v>
      </c>
      <c r="BH55" s="50">
        <v>0</v>
      </c>
      <c r="BI55" s="50">
        <v>91.875000000000682</v>
      </c>
      <c r="BJ55" s="50">
        <v>239.9</v>
      </c>
      <c r="BK55" s="470"/>
      <c r="BL55" s="50">
        <v>0</v>
      </c>
      <c r="BM55" s="50">
        <v>0</v>
      </c>
      <c r="BN55" s="50">
        <v>256.50000000000068</v>
      </c>
      <c r="BO55" s="518">
        <v>30.1</v>
      </c>
      <c r="BP55" s="470"/>
      <c r="BQ55" s="50">
        <v>0</v>
      </c>
      <c r="BR55" s="50">
        <v>0</v>
      </c>
      <c r="BS55" s="50">
        <v>456.37500000000068</v>
      </c>
      <c r="BT55" s="518">
        <v>400.60000000000127</v>
      </c>
      <c r="BU55" s="470"/>
      <c r="BV55" s="50">
        <v>0</v>
      </c>
      <c r="BW55" s="50">
        <v>0</v>
      </c>
      <c r="BX55" s="50">
        <v>0</v>
      </c>
      <c r="BY55" s="50">
        <v>381.30000000000018</v>
      </c>
      <c r="BZ55" s="470"/>
      <c r="CA55" s="50">
        <v>0</v>
      </c>
      <c r="CB55" s="50">
        <v>0</v>
      </c>
      <c r="CC55" s="50">
        <v>0</v>
      </c>
      <c r="CD55" s="50">
        <v>412.69999999999982</v>
      </c>
      <c r="CE55" s="470"/>
      <c r="CF55" s="50">
        <v>0</v>
      </c>
      <c r="CG55" s="50">
        <v>0</v>
      </c>
      <c r="CH55" s="50">
        <v>0</v>
      </c>
      <c r="CI55" s="50">
        <v>225.10000000000036</v>
      </c>
      <c r="CJ55" s="470"/>
      <c r="CK55" s="50">
        <v>0</v>
      </c>
      <c r="CL55" s="50">
        <v>0</v>
      </c>
      <c r="CM55" s="50">
        <v>0</v>
      </c>
      <c r="CN55" s="50">
        <v>399.69999999999982</v>
      </c>
      <c r="CO55" s="470"/>
      <c r="CP55" s="50">
        <v>0</v>
      </c>
      <c r="CQ55" s="50">
        <v>0</v>
      </c>
      <c r="CR55" s="50">
        <v>0</v>
      </c>
      <c r="CS55" s="50">
        <v>238.00000000000091</v>
      </c>
      <c r="CT55" s="470"/>
      <c r="CU55" s="50">
        <v>0</v>
      </c>
      <c r="CV55" s="50">
        <v>0</v>
      </c>
      <c r="CW55" s="50">
        <v>0</v>
      </c>
      <c r="CX55" s="50">
        <v>439.60000000000127</v>
      </c>
      <c r="CY55" s="470"/>
      <c r="CZ55" s="50">
        <v>0</v>
      </c>
      <c r="DA55" s="50">
        <v>0</v>
      </c>
      <c r="DB55" s="50">
        <v>0</v>
      </c>
      <c r="DC55" s="50">
        <v>168.10000000000127</v>
      </c>
      <c r="DD55" s="470"/>
      <c r="DE55" s="50">
        <v>0</v>
      </c>
      <c r="DF55" s="50">
        <v>0</v>
      </c>
      <c r="DG55" s="50">
        <v>0</v>
      </c>
      <c r="DH55" s="50">
        <v>2092.5000000000005</v>
      </c>
      <c r="DI55" s="470"/>
      <c r="DJ55" s="50">
        <v>0</v>
      </c>
      <c r="DK55" s="50">
        <v>0</v>
      </c>
      <c r="DL55" s="50">
        <v>0</v>
      </c>
      <c r="DM55" s="50">
        <v>0</v>
      </c>
      <c r="DN55" s="470"/>
      <c r="DO55" s="50">
        <v>0</v>
      </c>
      <c r="DP55" s="50">
        <v>0</v>
      </c>
      <c r="DQ55" s="50">
        <v>0</v>
      </c>
      <c r="DR55" s="50">
        <v>245.79999999999927</v>
      </c>
      <c r="DS55" s="470"/>
      <c r="DT55" s="50">
        <v>0</v>
      </c>
      <c r="DU55" s="50">
        <v>0</v>
      </c>
      <c r="DV55" s="50">
        <v>0</v>
      </c>
      <c r="DW55" s="50">
        <v>219.50000000000364</v>
      </c>
      <c r="DX55" s="470"/>
      <c r="DY55" s="50">
        <v>0</v>
      </c>
      <c r="DZ55" s="50">
        <v>0</v>
      </c>
      <c r="EA55" s="50">
        <v>0</v>
      </c>
      <c r="EB55" s="50">
        <v>2373.4000000000597</v>
      </c>
      <c r="EC55" s="470"/>
      <c r="ED55" s="50">
        <v>0</v>
      </c>
      <c r="EE55" s="50">
        <v>0</v>
      </c>
      <c r="EF55" s="50">
        <v>0</v>
      </c>
      <c r="EG55" s="50">
        <v>0</v>
      </c>
      <c r="EH55" s="470"/>
      <c r="EI55" s="50">
        <v>0</v>
      </c>
      <c r="EJ55" s="50">
        <v>0</v>
      </c>
      <c r="EK55" s="50">
        <v>0</v>
      </c>
      <c r="EL55" s="50">
        <v>8.4000000000014552</v>
      </c>
      <c r="EM55" s="470"/>
      <c r="EN55" s="50">
        <v>0</v>
      </c>
      <c r="EO55" s="50">
        <v>0</v>
      </c>
      <c r="EP55" s="50">
        <v>0</v>
      </c>
      <c r="EQ55" s="50">
        <v>82.599999999998545</v>
      </c>
      <c r="ER55" s="470"/>
      <c r="ES55" s="50">
        <v>0</v>
      </c>
      <c r="ET55" s="50">
        <v>0</v>
      </c>
      <c r="EU55" s="50">
        <v>0</v>
      </c>
      <c r="EV55" s="50">
        <v>0</v>
      </c>
      <c r="EW55" s="470"/>
      <c r="EX55" s="50">
        <v>0</v>
      </c>
      <c r="EY55" s="50">
        <v>0</v>
      </c>
      <c r="EZ55" s="50">
        <v>0</v>
      </c>
      <c r="FA55" s="50">
        <v>42</v>
      </c>
      <c r="FB55" s="470"/>
      <c r="FC55" s="50">
        <v>0</v>
      </c>
      <c r="FD55" s="50">
        <v>0</v>
      </c>
      <c r="FE55" s="50">
        <v>0</v>
      </c>
      <c r="FF55" s="50">
        <v>877.1</v>
      </c>
      <c r="FG55" s="470"/>
      <c r="FH55" s="50">
        <v>0</v>
      </c>
      <c r="FI55" s="50">
        <v>0</v>
      </c>
      <c r="FJ55" s="50">
        <v>0</v>
      </c>
      <c r="FK55" s="50">
        <v>24.299999999999272</v>
      </c>
      <c r="FL55" s="470"/>
      <c r="FM55" s="50">
        <v>0</v>
      </c>
      <c r="FN55" s="50">
        <v>0</v>
      </c>
      <c r="FO55" s="50">
        <v>0</v>
      </c>
      <c r="FP55" s="50">
        <v>205.09999999999673</v>
      </c>
      <c r="FQ55" s="470"/>
      <c r="FR55" s="50">
        <v>0</v>
      </c>
      <c r="FS55" s="50">
        <v>0</v>
      </c>
      <c r="FT55" s="50">
        <v>0</v>
      </c>
      <c r="FU55" s="50">
        <v>401.20000000000073</v>
      </c>
      <c r="FV55" s="470"/>
      <c r="FW55" s="50">
        <v>0</v>
      </c>
      <c r="FX55" s="50">
        <v>0</v>
      </c>
      <c r="FY55" s="50">
        <v>0</v>
      </c>
      <c r="FZ55" s="50">
        <v>0</v>
      </c>
      <c r="GA55" s="470"/>
      <c r="GB55" s="50">
        <v>0</v>
      </c>
      <c r="GC55" s="50">
        <v>0</v>
      </c>
      <c r="GD55" s="50">
        <v>0</v>
      </c>
      <c r="GE55" s="50">
        <v>364.89999999999782</v>
      </c>
      <c r="GF55" s="470"/>
      <c r="GG55" s="50">
        <v>0</v>
      </c>
      <c r="GH55" s="50">
        <v>0</v>
      </c>
      <c r="GI55" s="50">
        <v>0</v>
      </c>
      <c r="GJ55" s="50">
        <v>0</v>
      </c>
      <c r="GK55" s="470"/>
      <c r="GL55" s="50">
        <v>0</v>
      </c>
      <c r="GM55" s="50">
        <v>0</v>
      </c>
      <c r="GN55" s="50">
        <v>0</v>
      </c>
      <c r="GO55" s="50">
        <v>385.59999999998763</v>
      </c>
      <c r="GP55" s="470"/>
      <c r="GQ55" s="50">
        <v>0</v>
      </c>
      <c r="GR55" s="50">
        <v>0</v>
      </c>
      <c r="GS55" s="50">
        <v>0</v>
      </c>
      <c r="GT55" s="50">
        <v>220.00000000000728</v>
      </c>
      <c r="GU55" s="470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3383</v>
      </c>
      <c r="B56" s="46">
        <f t="shared" si="1"/>
        <v>6931.7999999999911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0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0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0"/>
      <c r="S56" s="458">
        <v>0</v>
      </c>
      <c r="T56" s="50">
        <v>0</v>
      </c>
      <c r="U56" s="508">
        <v>0</v>
      </c>
      <c r="V56" s="50">
        <f>'Punten per wedstrijd'!F55</f>
        <v>498.59999999999968</v>
      </c>
      <c r="W56" s="470"/>
      <c r="X56" s="50">
        <v>0</v>
      </c>
      <c r="Y56" s="50">
        <v>0</v>
      </c>
      <c r="Z56" s="50">
        <v>0</v>
      </c>
      <c r="AA56" s="50">
        <v>189.599999999999</v>
      </c>
      <c r="AB56" s="470"/>
      <c r="AC56" s="50">
        <v>0</v>
      </c>
      <c r="AD56" s="50">
        <v>0</v>
      </c>
      <c r="AE56" s="50">
        <v>0</v>
      </c>
      <c r="AF56" s="50">
        <v>745.29999999999836</v>
      </c>
      <c r="AG56" s="470"/>
      <c r="AH56" s="50">
        <v>0</v>
      </c>
      <c r="AI56" s="50">
        <v>0</v>
      </c>
      <c r="AJ56" s="50">
        <v>0</v>
      </c>
      <c r="AK56" s="50">
        <v>608.29999999999836</v>
      </c>
      <c r="AL56" s="470"/>
      <c r="AM56" s="458">
        <v>0</v>
      </c>
      <c r="AN56" s="458">
        <v>0</v>
      </c>
      <c r="AO56" s="458">
        <v>0</v>
      </c>
      <c r="AP56" s="50">
        <v>673.39999999999964</v>
      </c>
      <c r="AQ56" s="470"/>
      <c r="AR56" s="50">
        <v>0</v>
      </c>
      <c r="AS56" s="50">
        <v>0</v>
      </c>
      <c r="AT56" s="50">
        <v>0</v>
      </c>
      <c r="AU56" s="50">
        <v>604.4</v>
      </c>
      <c r="AV56" s="470"/>
      <c r="AW56" s="50">
        <v>0</v>
      </c>
      <c r="AX56" s="50">
        <v>0</v>
      </c>
      <c r="AY56" s="50">
        <v>0</v>
      </c>
      <c r="AZ56" s="50">
        <v>778.49999999999818</v>
      </c>
      <c r="BA56" s="470"/>
      <c r="BB56" s="50">
        <v>0</v>
      </c>
      <c r="BC56" s="50">
        <v>0</v>
      </c>
      <c r="BD56" s="50">
        <v>0</v>
      </c>
      <c r="BE56" s="50">
        <v>502</v>
      </c>
      <c r="BF56" s="470"/>
      <c r="BG56" s="50">
        <v>0</v>
      </c>
      <c r="BH56" s="50">
        <v>0</v>
      </c>
      <c r="BI56" s="50">
        <v>0</v>
      </c>
      <c r="BJ56" s="50">
        <v>398.3</v>
      </c>
      <c r="BK56" s="470"/>
      <c r="BL56" s="50">
        <v>0</v>
      </c>
      <c r="BM56" s="50">
        <v>0</v>
      </c>
      <c r="BN56" s="50">
        <v>0</v>
      </c>
      <c r="BO56" s="518">
        <v>384.9</v>
      </c>
      <c r="BP56" s="470"/>
      <c r="BQ56" s="50">
        <v>0</v>
      </c>
      <c r="BR56" s="50">
        <v>0</v>
      </c>
      <c r="BS56" s="50">
        <v>0</v>
      </c>
      <c r="BT56" s="518">
        <v>575.99999999999909</v>
      </c>
      <c r="BU56" s="470"/>
      <c r="BV56" s="50"/>
      <c r="BW56" s="50"/>
      <c r="BX56" s="50"/>
      <c r="BY56" s="50"/>
      <c r="BZ56" s="470"/>
      <c r="CA56" s="50"/>
      <c r="CB56" s="50"/>
      <c r="CC56" s="50"/>
      <c r="CD56" s="50"/>
      <c r="CE56" s="470"/>
      <c r="CF56" s="50"/>
      <c r="CG56" s="50"/>
      <c r="CH56" s="50"/>
      <c r="CI56" s="50"/>
      <c r="CJ56" s="470"/>
      <c r="CK56" s="50"/>
      <c r="CL56" s="50"/>
      <c r="CM56" s="50"/>
      <c r="CN56" s="50"/>
      <c r="CO56" s="470"/>
      <c r="CP56" s="50"/>
      <c r="CQ56" s="50"/>
      <c r="CR56" s="50"/>
      <c r="CS56" s="50"/>
      <c r="CT56" s="470"/>
      <c r="CU56" s="50"/>
      <c r="CV56" s="50"/>
      <c r="CW56" s="50"/>
      <c r="CX56" s="50"/>
      <c r="CY56" s="470"/>
      <c r="CZ56" s="50"/>
      <c r="DA56" s="50"/>
      <c r="DB56" s="50"/>
      <c r="DC56" s="50"/>
      <c r="DD56" s="470"/>
      <c r="DE56" s="50"/>
      <c r="DF56" s="50"/>
      <c r="DG56" s="50"/>
      <c r="DH56" s="50"/>
      <c r="DI56" s="470"/>
      <c r="DJ56" s="50"/>
      <c r="DK56" s="50"/>
      <c r="DL56" s="50"/>
      <c r="DM56" s="50"/>
      <c r="DN56" s="470"/>
      <c r="DO56" s="50"/>
      <c r="DP56" s="50"/>
      <c r="DQ56" s="50"/>
      <c r="DR56" s="50"/>
      <c r="DS56" s="470"/>
      <c r="DT56" s="50"/>
      <c r="DU56" s="50"/>
      <c r="DV56" s="50"/>
      <c r="DW56" s="50"/>
      <c r="DX56" s="470"/>
      <c r="DY56" s="50"/>
      <c r="DZ56" s="50"/>
      <c r="EA56" s="50"/>
      <c r="EB56" s="50"/>
      <c r="EC56" s="470"/>
      <c r="ED56" s="50"/>
      <c r="EE56" s="50"/>
      <c r="EF56" s="50"/>
      <c r="EG56" s="50"/>
      <c r="EH56" s="470"/>
      <c r="EI56" s="50"/>
      <c r="EJ56" s="50"/>
      <c r="EK56" s="50"/>
      <c r="EL56" s="50"/>
      <c r="EM56" s="470"/>
      <c r="EN56" s="50"/>
      <c r="EO56" s="50"/>
      <c r="EP56" s="50"/>
      <c r="EQ56" s="50"/>
      <c r="ER56" s="470"/>
      <c r="ES56" s="50"/>
      <c r="ET56" s="50"/>
      <c r="EU56" s="50"/>
      <c r="EV56" s="50"/>
      <c r="EW56" s="470"/>
      <c r="EX56" s="50"/>
      <c r="EY56" s="50"/>
      <c r="EZ56" s="50"/>
      <c r="FA56" s="50"/>
      <c r="FB56" s="470"/>
      <c r="FC56" s="50"/>
      <c r="FD56" s="50"/>
      <c r="FE56" s="50"/>
      <c r="FF56" s="50"/>
      <c r="FG56" s="470"/>
      <c r="FH56" s="50"/>
      <c r="FI56" s="50"/>
      <c r="FJ56" s="50"/>
      <c r="FK56" s="50"/>
      <c r="FL56" s="470"/>
      <c r="FM56" s="50"/>
      <c r="FN56" s="50"/>
      <c r="FO56" s="50"/>
      <c r="FP56" s="50"/>
      <c r="FQ56" s="470"/>
      <c r="FR56" s="50"/>
      <c r="FS56" s="50"/>
      <c r="FT56" s="50"/>
      <c r="FU56" s="50"/>
      <c r="FV56" s="470"/>
      <c r="FW56" s="50"/>
      <c r="FX56" s="50"/>
      <c r="FY56" s="50"/>
      <c r="FZ56" s="50"/>
      <c r="GA56" s="470"/>
      <c r="GB56" s="50"/>
      <c r="GC56" s="50"/>
      <c r="GD56" s="50"/>
      <c r="GE56" s="50"/>
      <c r="GF56" s="470"/>
      <c r="GG56" s="50"/>
      <c r="GH56" s="50"/>
      <c r="GI56" s="50"/>
      <c r="GJ56" s="50"/>
      <c r="GK56" s="470"/>
      <c r="GL56" s="50"/>
      <c r="GM56" s="50"/>
      <c r="GN56" s="50"/>
      <c r="GO56" s="50"/>
      <c r="GP56" s="470"/>
      <c r="GQ56" s="50"/>
      <c r="GR56" s="50"/>
      <c r="GS56" s="50"/>
      <c r="GT56" s="50"/>
      <c r="GU56" s="470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2031</v>
      </c>
      <c r="B57" s="46">
        <f t="shared" si="1"/>
        <v>25341.324999999964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0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0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0"/>
      <c r="S57" s="458">
        <v>0</v>
      </c>
      <c r="T57" s="50">
        <v>0</v>
      </c>
      <c r="U57" s="508">
        <v>192.74999999999983</v>
      </c>
      <c r="V57" s="50">
        <f>'Punten per wedstrijd'!F56</f>
        <v>264.59999999999991</v>
      </c>
      <c r="W57" s="470"/>
      <c r="X57" s="50">
        <v>0</v>
      </c>
      <c r="Y57" s="50">
        <v>0</v>
      </c>
      <c r="Z57" s="50">
        <v>224.24999999999949</v>
      </c>
      <c r="AA57" s="50">
        <v>222.00000000000091</v>
      </c>
      <c r="AB57" s="470"/>
      <c r="AC57" s="50">
        <v>0</v>
      </c>
      <c r="AD57" s="50">
        <v>0</v>
      </c>
      <c r="AE57" s="50">
        <v>421.64999999999947</v>
      </c>
      <c r="AF57" s="50">
        <v>1112.2000000000003</v>
      </c>
      <c r="AG57" s="470"/>
      <c r="AH57" s="50">
        <v>0</v>
      </c>
      <c r="AI57" s="50">
        <v>0</v>
      </c>
      <c r="AJ57" s="50">
        <v>697.34999999999945</v>
      </c>
      <c r="AK57" s="50">
        <v>635.09999999999764</v>
      </c>
      <c r="AL57" s="470"/>
      <c r="AM57" s="458">
        <v>0</v>
      </c>
      <c r="AN57" s="458">
        <v>0</v>
      </c>
      <c r="AO57" s="458">
        <v>324.22499999999945</v>
      </c>
      <c r="AP57" s="50">
        <v>481.39999999999782</v>
      </c>
      <c r="AQ57" s="470"/>
      <c r="AR57" s="50">
        <v>0</v>
      </c>
      <c r="AS57" s="50">
        <v>0</v>
      </c>
      <c r="AT57" s="50">
        <v>298.49999999999864</v>
      </c>
      <c r="AU57" s="50">
        <v>252.3</v>
      </c>
      <c r="AV57" s="470"/>
      <c r="AW57" s="50">
        <v>0</v>
      </c>
      <c r="AX57" s="50">
        <v>0</v>
      </c>
      <c r="AY57" s="50">
        <v>146.99999999999864</v>
      </c>
      <c r="AZ57" s="50">
        <v>881.39999999999873</v>
      </c>
      <c r="BA57" s="470"/>
      <c r="BB57" s="50">
        <v>0</v>
      </c>
      <c r="BC57" s="50">
        <v>0</v>
      </c>
      <c r="BD57" s="50">
        <v>221.24999999999795</v>
      </c>
      <c r="BE57" s="50">
        <v>444.6</v>
      </c>
      <c r="BF57" s="470"/>
      <c r="BG57" s="50">
        <v>0</v>
      </c>
      <c r="BH57" s="50">
        <v>0</v>
      </c>
      <c r="BI57" s="50">
        <v>156.44999999999891</v>
      </c>
      <c r="BJ57" s="50">
        <v>195.4</v>
      </c>
      <c r="BK57" s="470"/>
      <c r="BL57" s="50">
        <v>0</v>
      </c>
      <c r="BM57" s="50">
        <v>0</v>
      </c>
      <c r="BN57" s="50">
        <v>148.27499999999986</v>
      </c>
      <c r="BO57" s="518">
        <v>280.7</v>
      </c>
      <c r="BP57" s="470"/>
      <c r="BQ57" s="50">
        <v>0</v>
      </c>
      <c r="BR57" s="50">
        <v>0</v>
      </c>
      <c r="BS57" s="50">
        <v>114.07500000000027</v>
      </c>
      <c r="BT57" s="518">
        <v>470</v>
      </c>
      <c r="BU57" s="470"/>
      <c r="BV57" s="50">
        <v>0</v>
      </c>
      <c r="BW57" s="50">
        <v>0</v>
      </c>
      <c r="BX57" s="50">
        <v>0</v>
      </c>
      <c r="BY57" s="50">
        <v>535.90000000000055</v>
      </c>
      <c r="BZ57" s="470"/>
      <c r="CA57" s="50">
        <v>0</v>
      </c>
      <c r="CB57" s="50">
        <v>0</v>
      </c>
      <c r="CC57" s="50">
        <v>0</v>
      </c>
      <c r="CD57" s="50">
        <v>215.00000000000182</v>
      </c>
      <c r="CE57" s="470"/>
      <c r="CF57" s="50">
        <v>0</v>
      </c>
      <c r="CG57" s="50">
        <v>0</v>
      </c>
      <c r="CH57" s="50">
        <v>0</v>
      </c>
      <c r="CI57" s="50">
        <v>292.50000000000091</v>
      </c>
      <c r="CJ57" s="470"/>
      <c r="CK57" s="50">
        <v>0</v>
      </c>
      <c r="CL57" s="50">
        <v>0</v>
      </c>
      <c r="CM57" s="50">
        <v>0</v>
      </c>
      <c r="CN57" s="50">
        <v>211.30000000000109</v>
      </c>
      <c r="CO57" s="470"/>
      <c r="CP57" s="50">
        <v>0</v>
      </c>
      <c r="CQ57" s="50">
        <v>0</v>
      </c>
      <c r="CR57" s="50">
        <v>0</v>
      </c>
      <c r="CS57" s="50">
        <v>317.5</v>
      </c>
      <c r="CT57" s="470"/>
      <c r="CU57" s="50">
        <v>0</v>
      </c>
      <c r="CV57" s="50">
        <v>0</v>
      </c>
      <c r="CW57" s="50">
        <v>0</v>
      </c>
      <c r="CX57" s="50">
        <v>422.80000000000018</v>
      </c>
      <c r="CY57" s="470"/>
      <c r="CZ57" s="50">
        <v>0</v>
      </c>
      <c r="DA57" s="50">
        <v>0</v>
      </c>
      <c r="DB57" s="50">
        <v>0</v>
      </c>
      <c r="DC57" s="50">
        <v>45.099999999998545</v>
      </c>
      <c r="DD57" s="470"/>
      <c r="DE57" s="50">
        <v>0</v>
      </c>
      <c r="DF57" s="50">
        <v>0</v>
      </c>
      <c r="DG57" s="50">
        <v>0</v>
      </c>
      <c r="DH57" s="50">
        <v>2150.7999999999997</v>
      </c>
      <c r="DI57" s="470"/>
      <c r="DJ57" s="50">
        <v>0</v>
      </c>
      <c r="DK57" s="50">
        <v>0</v>
      </c>
      <c r="DL57" s="50">
        <v>0</v>
      </c>
      <c r="DM57" s="50">
        <v>0</v>
      </c>
      <c r="DN57" s="470"/>
      <c r="DO57" s="50">
        <v>0</v>
      </c>
      <c r="DP57" s="50">
        <v>0</v>
      </c>
      <c r="DQ57" s="50">
        <v>0</v>
      </c>
      <c r="DR57" s="50">
        <v>394.80000000000109</v>
      </c>
      <c r="DS57" s="470"/>
      <c r="DT57" s="50">
        <v>0</v>
      </c>
      <c r="DU57" s="50">
        <v>0</v>
      </c>
      <c r="DV57" s="50">
        <v>0</v>
      </c>
      <c r="DW57" s="50">
        <v>481.19999999999891</v>
      </c>
      <c r="DX57" s="470"/>
      <c r="DY57" s="50">
        <v>0</v>
      </c>
      <c r="DZ57" s="50">
        <v>0</v>
      </c>
      <c r="EA57" s="50">
        <v>0</v>
      </c>
      <c r="EB57" s="50">
        <v>3739.400000000016</v>
      </c>
      <c r="EC57" s="470"/>
      <c r="ED57" s="50">
        <v>0</v>
      </c>
      <c r="EE57" s="50">
        <v>0</v>
      </c>
      <c r="EF57" s="50">
        <v>0</v>
      </c>
      <c r="EG57" s="50">
        <v>0</v>
      </c>
      <c r="EH57" s="470"/>
      <c r="EI57" s="50">
        <v>0</v>
      </c>
      <c r="EJ57" s="50">
        <v>0</v>
      </c>
      <c r="EK57" s="50">
        <v>0</v>
      </c>
      <c r="EL57" s="50">
        <v>411.09999999999854</v>
      </c>
      <c r="EM57" s="470"/>
      <c r="EN57" s="50">
        <v>0</v>
      </c>
      <c r="EO57" s="50">
        <v>0</v>
      </c>
      <c r="EP57" s="50">
        <v>0</v>
      </c>
      <c r="EQ57" s="50">
        <v>401.09999999999491</v>
      </c>
      <c r="ER57" s="470"/>
      <c r="ES57" s="50">
        <v>0</v>
      </c>
      <c r="ET57" s="50">
        <v>0</v>
      </c>
      <c r="EU57" s="50">
        <v>0</v>
      </c>
      <c r="EV57" s="50">
        <v>0</v>
      </c>
      <c r="EW57" s="470"/>
      <c r="EX57" s="50">
        <v>0</v>
      </c>
      <c r="EY57" s="50">
        <v>0</v>
      </c>
      <c r="EZ57" s="50">
        <v>0</v>
      </c>
      <c r="FA57" s="50">
        <v>229.59999999999491</v>
      </c>
      <c r="FB57" s="470"/>
      <c r="FC57" s="50">
        <v>0</v>
      </c>
      <c r="FD57" s="50">
        <v>0</v>
      </c>
      <c r="FE57" s="50">
        <v>0</v>
      </c>
      <c r="FF57" s="50">
        <v>2845.7</v>
      </c>
      <c r="FG57" s="470"/>
      <c r="FH57" s="50">
        <v>0</v>
      </c>
      <c r="FI57" s="50">
        <v>0</v>
      </c>
      <c r="FJ57" s="50">
        <v>0</v>
      </c>
      <c r="FK57" s="50">
        <v>254.09999999999491</v>
      </c>
      <c r="FL57" s="470"/>
      <c r="FM57" s="50">
        <v>0</v>
      </c>
      <c r="FN57" s="50">
        <v>0</v>
      </c>
      <c r="FO57" s="50">
        <v>0</v>
      </c>
      <c r="FP57" s="50">
        <v>304.59999999999491</v>
      </c>
      <c r="FQ57" s="470"/>
      <c r="FR57" s="50">
        <v>0</v>
      </c>
      <c r="FS57" s="50">
        <v>0</v>
      </c>
      <c r="FT57" s="50">
        <v>0</v>
      </c>
      <c r="FU57" s="50">
        <v>446.39999999999418</v>
      </c>
      <c r="FV57" s="470"/>
      <c r="FW57" s="50">
        <v>0</v>
      </c>
      <c r="FX57" s="50">
        <v>0</v>
      </c>
      <c r="FY57" s="50">
        <v>0</v>
      </c>
      <c r="FZ57" s="50">
        <v>0</v>
      </c>
      <c r="GA57" s="470"/>
      <c r="GB57" s="50">
        <v>0</v>
      </c>
      <c r="GC57" s="50">
        <v>0</v>
      </c>
      <c r="GD57" s="50">
        <v>0</v>
      </c>
      <c r="GE57" s="50">
        <v>250.19999999999345</v>
      </c>
      <c r="GF57" s="470"/>
      <c r="GG57" s="50">
        <v>0</v>
      </c>
      <c r="GH57" s="50">
        <v>0</v>
      </c>
      <c r="GI57" s="50">
        <v>0</v>
      </c>
      <c r="GJ57" s="50">
        <v>0</v>
      </c>
      <c r="GK57" s="470"/>
      <c r="GL57" s="50">
        <v>0</v>
      </c>
      <c r="GM57" s="50">
        <v>0</v>
      </c>
      <c r="GN57" s="50">
        <v>0</v>
      </c>
      <c r="GO57" s="50">
        <v>1213.3999999999905</v>
      </c>
      <c r="GP57" s="470"/>
      <c r="GQ57" s="50">
        <v>0</v>
      </c>
      <c r="GR57" s="50">
        <v>0</v>
      </c>
      <c r="GS57" s="50">
        <v>0</v>
      </c>
      <c r="GT57" s="50">
        <v>373</v>
      </c>
      <c r="GU57" s="470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39394.162499999919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0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0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0"/>
      <c r="S58" s="458">
        <v>26.299999999999898</v>
      </c>
      <c r="T58" s="50">
        <v>41.450000000000017</v>
      </c>
      <c r="U58" s="508">
        <v>32.362500000000239</v>
      </c>
      <c r="V58" s="50">
        <f>'Punten per wedstrijd'!F57</f>
        <v>150.10000000000014</v>
      </c>
      <c r="W58" s="470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0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70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0"/>
      <c r="AM58" s="458">
        <v>54.525000000000205</v>
      </c>
      <c r="AN58" s="458">
        <v>213.29999999999995</v>
      </c>
      <c r="AO58" s="458">
        <v>232.04999999999836</v>
      </c>
      <c r="AP58" s="50">
        <v>454.50000000000091</v>
      </c>
      <c r="AQ58" s="470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70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70"/>
      <c r="BB58" s="50">
        <v>0</v>
      </c>
      <c r="BC58" s="50">
        <v>139.45000000000005</v>
      </c>
      <c r="BD58" s="50">
        <v>73.124999999998636</v>
      </c>
      <c r="BE58" s="50">
        <v>428</v>
      </c>
      <c r="BF58" s="470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70"/>
      <c r="BL58" s="50">
        <v>0</v>
      </c>
      <c r="BM58" s="50">
        <v>146.84999999999991</v>
      </c>
      <c r="BN58" s="50">
        <v>132.37499999999864</v>
      </c>
      <c r="BO58" s="518">
        <v>104.10000000000001</v>
      </c>
      <c r="BP58" s="470"/>
      <c r="BQ58" s="50">
        <v>68.199999999998909</v>
      </c>
      <c r="BR58" s="50">
        <v>160.54999999999973</v>
      </c>
      <c r="BS58" s="50">
        <v>107.24999999999864</v>
      </c>
      <c r="BT58" s="518">
        <v>418.199999999998</v>
      </c>
      <c r="BU58" s="470"/>
      <c r="BV58" s="50">
        <v>0</v>
      </c>
      <c r="BW58" s="50">
        <v>0</v>
      </c>
      <c r="BX58" s="50">
        <v>321.82500000000027</v>
      </c>
      <c r="BY58" s="50">
        <v>793.99999999999636</v>
      </c>
      <c r="BZ58" s="470"/>
      <c r="CA58" s="50">
        <v>0</v>
      </c>
      <c r="CB58" s="50">
        <v>0</v>
      </c>
      <c r="CC58" s="50">
        <v>275.40000000000327</v>
      </c>
      <c r="CD58" s="50">
        <v>91.499999999997272</v>
      </c>
      <c r="CE58" s="470"/>
      <c r="CF58" s="50">
        <v>0</v>
      </c>
      <c r="CG58" s="50">
        <v>0</v>
      </c>
      <c r="CH58" s="50">
        <v>322.5</v>
      </c>
      <c r="CI58" s="50">
        <v>76.19999999999709</v>
      </c>
      <c r="CJ58" s="470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0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0"/>
      <c r="CU58" s="50">
        <v>0</v>
      </c>
      <c r="CV58" s="50">
        <v>0</v>
      </c>
      <c r="CW58" s="50">
        <v>248.32500000000164</v>
      </c>
      <c r="CX58" s="50">
        <v>629.99999999999818</v>
      </c>
      <c r="CY58" s="470"/>
      <c r="CZ58" s="50">
        <v>0</v>
      </c>
      <c r="DA58" s="50">
        <v>0</v>
      </c>
      <c r="DB58" s="50">
        <v>211.57500000000437</v>
      </c>
      <c r="DC58" s="50">
        <v>157.19999999999891</v>
      </c>
      <c r="DD58" s="470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0"/>
      <c r="DJ58" s="50">
        <v>0</v>
      </c>
      <c r="DK58" s="50">
        <v>0</v>
      </c>
      <c r="DL58" s="50">
        <v>0</v>
      </c>
      <c r="DM58" s="50">
        <v>0</v>
      </c>
      <c r="DN58" s="470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0"/>
      <c r="DT58" s="50">
        <v>0</v>
      </c>
      <c r="DU58" s="50">
        <v>0</v>
      </c>
      <c r="DV58" s="50">
        <v>308.32499999999823</v>
      </c>
      <c r="DW58" s="50">
        <v>379.09999999999854</v>
      </c>
      <c r="DX58" s="470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0"/>
      <c r="ED58" s="50">
        <v>0</v>
      </c>
      <c r="EE58" s="50">
        <v>0</v>
      </c>
      <c r="EF58" s="50">
        <v>0</v>
      </c>
      <c r="EG58" s="50">
        <v>0</v>
      </c>
      <c r="EH58" s="470"/>
      <c r="EI58" s="50">
        <v>0</v>
      </c>
      <c r="EJ58" s="50">
        <v>0</v>
      </c>
      <c r="EK58" s="50">
        <v>78.750000000001364</v>
      </c>
      <c r="EL58" s="50">
        <v>424.60000000000036</v>
      </c>
      <c r="EM58" s="470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0"/>
      <c r="ES58" s="50">
        <v>0</v>
      </c>
      <c r="ET58" s="50">
        <v>192.35000000000036</v>
      </c>
      <c r="EU58" s="50">
        <v>256.575000000003</v>
      </c>
      <c r="EV58" s="50">
        <v>0</v>
      </c>
      <c r="EW58" s="470"/>
      <c r="EX58" s="50">
        <v>0</v>
      </c>
      <c r="EY58" s="50">
        <v>0</v>
      </c>
      <c r="EZ58" s="50">
        <v>0</v>
      </c>
      <c r="FA58" s="50">
        <v>112.50000000000364</v>
      </c>
      <c r="FB58" s="470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0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0"/>
      <c r="FM58" s="50">
        <v>0</v>
      </c>
      <c r="FN58" s="50">
        <v>0</v>
      </c>
      <c r="FO58" s="50">
        <v>0</v>
      </c>
      <c r="FP58" s="50">
        <v>218.100000000004</v>
      </c>
      <c r="FQ58" s="470"/>
      <c r="FR58" s="50">
        <v>0</v>
      </c>
      <c r="FS58" s="50">
        <v>0</v>
      </c>
      <c r="FT58" s="50">
        <v>0</v>
      </c>
      <c r="FU58" s="50">
        <v>424.80000000000291</v>
      </c>
      <c r="FV58" s="470"/>
      <c r="FW58" s="50">
        <v>0</v>
      </c>
      <c r="FX58" s="50">
        <v>0</v>
      </c>
      <c r="FY58" s="50">
        <v>0</v>
      </c>
      <c r="FZ58" s="50">
        <v>0</v>
      </c>
      <c r="GA58" s="470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0"/>
      <c r="GG58" s="50">
        <v>0</v>
      </c>
      <c r="GH58" s="50">
        <v>0</v>
      </c>
      <c r="GI58" s="50">
        <v>0</v>
      </c>
      <c r="GJ58" s="50">
        <v>0</v>
      </c>
      <c r="GK58" s="470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0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0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54968.437499999854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0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0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0"/>
      <c r="S59" s="458">
        <v>9.5999999999999659</v>
      </c>
      <c r="T59" s="50">
        <v>35.850000000000023</v>
      </c>
      <c r="U59" s="508">
        <v>253.5</v>
      </c>
      <c r="V59" s="50">
        <f>'Punten per wedstrijd'!F58</f>
        <v>245.29999999999995</v>
      </c>
      <c r="W59" s="470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0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70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0"/>
      <c r="AM59" s="458">
        <v>134.95000000000005</v>
      </c>
      <c r="AN59" s="458">
        <v>319.89999999999941</v>
      </c>
      <c r="AO59" s="458">
        <v>282.97499999999809</v>
      </c>
      <c r="AP59" s="50">
        <v>520.19999999999982</v>
      </c>
      <c r="AQ59" s="470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70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70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70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70"/>
      <c r="BL59" s="50">
        <v>0</v>
      </c>
      <c r="BM59" s="50">
        <v>91.750000000000455</v>
      </c>
      <c r="BN59" s="50">
        <v>149.62499999999932</v>
      </c>
      <c r="BO59" s="518">
        <v>236.1</v>
      </c>
      <c r="BP59" s="470"/>
      <c r="BQ59" s="50">
        <v>69.650000000000091</v>
      </c>
      <c r="BR59" s="50">
        <v>188.65000000000055</v>
      </c>
      <c r="BS59" s="50">
        <v>216.37499999999932</v>
      </c>
      <c r="BT59" s="518">
        <v>387.70000000000073</v>
      </c>
      <c r="BU59" s="470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0"/>
      <c r="CA59" s="50">
        <v>60.625000000000682</v>
      </c>
      <c r="CB59" s="50">
        <v>0</v>
      </c>
      <c r="CC59" s="50">
        <v>280.94999999999618</v>
      </c>
      <c r="CD59" s="50">
        <v>120</v>
      </c>
      <c r="CE59" s="470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0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0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0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0"/>
      <c r="CZ59" s="50">
        <v>0</v>
      </c>
      <c r="DA59" s="50">
        <v>0</v>
      </c>
      <c r="DB59" s="50">
        <v>163.49999999999454</v>
      </c>
      <c r="DC59" s="50">
        <v>240.50000000000182</v>
      </c>
      <c r="DD59" s="470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0"/>
      <c r="DJ59" s="50">
        <v>36.699999999999818</v>
      </c>
      <c r="DK59" s="50">
        <v>0</v>
      </c>
      <c r="DL59" s="50">
        <v>0</v>
      </c>
      <c r="DM59" s="50">
        <v>0</v>
      </c>
      <c r="DN59" s="470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0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0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0"/>
      <c r="ED59" s="50">
        <v>83.075000000001637</v>
      </c>
      <c r="EE59" s="50">
        <v>0</v>
      </c>
      <c r="EF59" s="50">
        <v>0</v>
      </c>
      <c r="EG59" s="50">
        <v>0</v>
      </c>
      <c r="EH59" s="470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0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0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0"/>
      <c r="EX59" s="50">
        <v>126.37500000000182</v>
      </c>
      <c r="EY59" s="50">
        <v>0</v>
      </c>
      <c r="EZ59" s="50">
        <v>0</v>
      </c>
      <c r="FA59" s="50">
        <v>265.00000000000728</v>
      </c>
      <c r="FB59" s="470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0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0"/>
      <c r="FM59" s="50">
        <v>105.875</v>
      </c>
      <c r="FN59" s="50">
        <v>0</v>
      </c>
      <c r="FO59" s="50">
        <v>0</v>
      </c>
      <c r="FP59" s="50">
        <v>151.5</v>
      </c>
      <c r="FQ59" s="470"/>
      <c r="FR59" s="50">
        <v>50.350000000000364</v>
      </c>
      <c r="FS59" s="50">
        <v>0</v>
      </c>
      <c r="FT59" s="50">
        <v>0</v>
      </c>
      <c r="FU59" s="50">
        <v>371.5</v>
      </c>
      <c r="FV59" s="470"/>
      <c r="FW59" s="50">
        <v>87.750000000000455</v>
      </c>
      <c r="FX59" s="50">
        <v>0</v>
      </c>
      <c r="FY59" s="50">
        <v>0</v>
      </c>
      <c r="FZ59" s="50">
        <v>0</v>
      </c>
      <c r="GA59" s="470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0"/>
      <c r="GG59" s="50">
        <v>144.22500000000036</v>
      </c>
      <c r="GH59" s="50">
        <v>0</v>
      </c>
      <c r="GI59" s="50">
        <v>0</v>
      </c>
      <c r="GJ59" s="50">
        <v>0</v>
      </c>
      <c r="GK59" s="470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0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0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3382</v>
      </c>
      <c r="B60" s="46">
        <f t="shared" si="1"/>
        <v>6915.7000000000007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0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0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0"/>
      <c r="S60" s="458">
        <v>0</v>
      </c>
      <c r="T60" s="50">
        <v>0</v>
      </c>
      <c r="U60" s="508">
        <v>0</v>
      </c>
      <c r="V60" s="50">
        <f>'Punten per wedstrijd'!F59</f>
        <v>370.69999999999982</v>
      </c>
      <c r="W60" s="470"/>
      <c r="X60" s="50">
        <v>0</v>
      </c>
      <c r="Y60" s="50">
        <v>0</v>
      </c>
      <c r="Z60" s="50">
        <v>0</v>
      </c>
      <c r="AA60" s="50">
        <v>255.50000000000045</v>
      </c>
      <c r="AB60" s="470"/>
      <c r="AC60" s="50">
        <v>0</v>
      </c>
      <c r="AD60" s="50">
        <v>0</v>
      </c>
      <c r="AE60" s="50">
        <v>0</v>
      </c>
      <c r="AF60" s="50">
        <v>894.70000000000027</v>
      </c>
      <c r="AG60" s="470"/>
      <c r="AH60" s="50">
        <v>0</v>
      </c>
      <c r="AI60" s="50">
        <v>0</v>
      </c>
      <c r="AJ60" s="50">
        <v>0</v>
      </c>
      <c r="AK60" s="50">
        <v>441.39999999999964</v>
      </c>
      <c r="AL60" s="470"/>
      <c r="AM60" s="458">
        <v>0</v>
      </c>
      <c r="AN60" s="458">
        <v>0</v>
      </c>
      <c r="AO60" s="458">
        <v>0</v>
      </c>
      <c r="AP60" s="50">
        <v>639.79999999999973</v>
      </c>
      <c r="AQ60" s="470"/>
      <c r="AR60" s="50">
        <v>0</v>
      </c>
      <c r="AS60" s="50">
        <v>0</v>
      </c>
      <c r="AT60" s="50">
        <v>0</v>
      </c>
      <c r="AU60" s="50">
        <v>389.9</v>
      </c>
      <c r="AV60" s="470"/>
      <c r="AW60" s="50">
        <v>0</v>
      </c>
      <c r="AX60" s="50">
        <v>0</v>
      </c>
      <c r="AY60" s="50">
        <v>0</v>
      </c>
      <c r="AZ60" s="50">
        <v>756.40000000000055</v>
      </c>
      <c r="BA60" s="470"/>
      <c r="BB60" s="50">
        <v>0</v>
      </c>
      <c r="BC60" s="50">
        <v>0</v>
      </c>
      <c r="BD60" s="50">
        <v>0</v>
      </c>
      <c r="BE60" s="50">
        <v>549.1</v>
      </c>
      <c r="BF60" s="470"/>
      <c r="BG60" s="50">
        <v>0</v>
      </c>
      <c r="BH60" s="50">
        <v>0</v>
      </c>
      <c r="BI60" s="50">
        <v>0</v>
      </c>
      <c r="BJ60" s="50">
        <v>437.1</v>
      </c>
      <c r="BK60" s="470"/>
      <c r="BL60" s="50">
        <v>0</v>
      </c>
      <c r="BM60" s="50">
        <v>0</v>
      </c>
      <c r="BN60" s="50">
        <v>0</v>
      </c>
      <c r="BO60" s="518">
        <v>389.8</v>
      </c>
      <c r="BP60" s="470"/>
      <c r="BQ60" s="50">
        <v>0</v>
      </c>
      <c r="BR60" s="50">
        <v>0</v>
      </c>
      <c r="BS60" s="50">
        <v>0</v>
      </c>
      <c r="BT60" s="518">
        <v>717.79999999999927</v>
      </c>
      <c r="BU60" s="470"/>
      <c r="BV60" s="50"/>
      <c r="BW60" s="50"/>
      <c r="BX60" s="50"/>
      <c r="BY60" s="50"/>
      <c r="BZ60" s="470"/>
      <c r="CA60" s="50"/>
      <c r="CB60" s="50"/>
      <c r="CC60" s="50"/>
      <c r="CD60" s="50"/>
      <c r="CE60" s="470"/>
      <c r="CF60" s="50"/>
      <c r="CG60" s="50"/>
      <c r="CH60" s="50"/>
      <c r="CI60" s="50"/>
      <c r="CJ60" s="470"/>
      <c r="CK60" s="50"/>
      <c r="CL60" s="50"/>
      <c r="CM60" s="50"/>
      <c r="CN60" s="50"/>
      <c r="CO60" s="470"/>
      <c r="CP60" s="50"/>
      <c r="CQ60" s="50"/>
      <c r="CR60" s="50"/>
      <c r="CS60" s="50"/>
      <c r="CT60" s="470"/>
      <c r="CU60" s="50"/>
      <c r="CV60" s="50"/>
      <c r="CW60" s="50"/>
      <c r="CX60" s="50"/>
      <c r="CY60" s="470"/>
      <c r="CZ60" s="50"/>
      <c r="DA60" s="50"/>
      <c r="DB60" s="50"/>
      <c r="DC60" s="50"/>
      <c r="DD60" s="470"/>
      <c r="DE60" s="50"/>
      <c r="DF60" s="50"/>
      <c r="DG60" s="50"/>
      <c r="DH60" s="50"/>
      <c r="DI60" s="470"/>
      <c r="DJ60" s="50"/>
      <c r="DK60" s="50"/>
      <c r="DL60" s="50"/>
      <c r="DM60" s="50"/>
      <c r="DN60" s="470"/>
      <c r="DO60" s="50"/>
      <c r="DP60" s="50"/>
      <c r="DQ60" s="50"/>
      <c r="DR60" s="50"/>
      <c r="DS60" s="470"/>
      <c r="DT60" s="50"/>
      <c r="DU60" s="50"/>
      <c r="DV60" s="50"/>
      <c r="DW60" s="50"/>
      <c r="DX60" s="470"/>
      <c r="DY60" s="50"/>
      <c r="DZ60" s="50"/>
      <c r="EA60" s="50"/>
      <c r="EB60" s="50"/>
      <c r="EC60" s="470"/>
      <c r="ED60" s="50"/>
      <c r="EE60" s="50"/>
      <c r="EF60" s="50"/>
      <c r="EG60" s="50"/>
      <c r="EH60" s="470"/>
      <c r="EI60" s="50"/>
      <c r="EJ60" s="50"/>
      <c r="EK60" s="50"/>
      <c r="EL60" s="50"/>
      <c r="EM60" s="470"/>
      <c r="EN60" s="50"/>
      <c r="EO60" s="50"/>
      <c r="EP60" s="50"/>
      <c r="EQ60" s="50"/>
      <c r="ER60" s="470"/>
      <c r="ES60" s="50"/>
      <c r="ET60" s="50"/>
      <c r="EU60" s="50"/>
      <c r="EV60" s="50"/>
      <c r="EW60" s="470"/>
      <c r="EX60" s="50"/>
      <c r="EY60" s="50"/>
      <c r="EZ60" s="50"/>
      <c r="FA60" s="50"/>
      <c r="FB60" s="470"/>
      <c r="FC60" s="50"/>
      <c r="FD60" s="50"/>
      <c r="FE60" s="50"/>
      <c r="FF60" s="50"/>
      <c r="FG60" s="470"/>
      <c r="FH60" s="50"/>
      <c r="FI60" s="50"/>
      <c r="FJ60" s="50"/>
      <c r="FK60" s="50"/>
      <c r="FL60" s="470"/>
      <c r="FM60" s="50"/>
      <c r="FN60" s="50"/>
      <c r="FO60" s="50"/>
      <c r="FP60" s="50"/>
      <c r="FQ60" s="470"/>
      <c r="FR60" s="50"/>
      <c r="FS60" s="50"/>
      <c r="FT60" s="50"/>
      <c r="FU60" s="50"/>
      <c r="FV60" s="470"/>
      <c r="FW60" s="50"/>
      <c r="FX60" s="50"/>
      <c r="FY60" s="50"/>
      <c r="FZ60" s="50"/>
      <c r="GA60" s="470"/>
      <c r="GB60" s="50"/>
      <c r="GC60" s="50"/>
      <c r="GD60" s="50"/>
      <c r="GE60" s="50"/>
      <c r="GF60" s="470"/>
      <c r="GG60" s="50"/>
      <c r="GH60" s="50"/>
      <c r="GI60" s="50"/>
      <c r="GJ60" s="50"/>
      <c r="GK60" s="470"/>
      <c r="GL60" s="50"/>
      <c r="GM60" s="50"/>
      <c r="GN60" s="50"/>
      <c r="GO60" s="50"/>
      <c r="GP60" s="470"/>
      <c r="GQ60" s="50"/>
      <c r="GR60" s="50"/>
      <c r="GS60" s="50"/>
      <c r="GT60" s="50"/>
      <c r="GU60" s="470"/>
      <c r="GZ60" s="143"/>
      <c r="HA60" s="464"/>
      <c r="HI60" s="143"/>
      <c r="HJ60" s="464"/>
      <c r="HR60" s="143"/>
      <c r="HS60" s="464"/>
      <c r="IB60" s="464"/>
      <c r="IK60" s="464"/>
      <c r="IT60" s="464"/>
      <c r="JC60" s="464"/>
      <c r="JL60" s="464"/>
      <c r="JU60" s="464"/>
      <c r="KD60" s="464"/>
      <c r="KM60" s="464"/>
      <c r="KV60" s="464"/>
      <c r="LE60" s="464"/>
      <c r="MF60" s="464"/>
      <c r="MO60" s="464"/>
      <c r="MX60" s="464"/>
      <c r="NG60" s="464"/>
      <c r="NP60" s="464"/>
      <c r="NY60" s="464"/>
      <c r="OE60" s="37"/>
    </row>
    <row r="61" spans="1:396" s="39" customFormat="1" ht="18">
      <c r="A61" s="41" t="s">
        <v>3389</v>
      </c>
      <c r="B61" s="46">
        <f t="shared" si="1"/>
        <v>6359.3500000000031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0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0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0"/>
      <c r="S61" s="458">
        <v>0</v>
      </c>
      <c r="T61" s="50">
        <v>0</v>
      </c>
      <c r="U61" s="508">
        <v>0</v>
      </c>
      <c r="V61" s="50">
        <f>'Punten per wedstrijd'!F60</f>
        <v>488.64999999999964</v>
      </c>
      <c r="W61" s="470"/>
      <c r="X61" s="50">
        <v>0</v>
      </c>
      <c r="Y61" s="50">
        <v>0</v>
      </c>
      <c r="Z61" s="50">
        <v>0</v>
      </c>
      <c r="AA61" s="50">
        <v>441.90000000000055</v>
      </c>
      <c r="AB61" s="470"/>
      <c r="AC61" s="50">
        <v>0</v>
      </c>
      <c r="AD61" s="50">
        <v>0</v>
      </c>
      <c r="AE61" s="50">
        <v>0</v>
      </c>
      <c r="AF61" s="50">
        <v>687.70000000000118</v>
      </c>
      <c r="AG61" s="470"/>
      <c r="AH61" s="50">
        <v>0</v>
      </c>
      <c r="AI61" s="50">
        <v>0</v>
      </c>
      <c r="AJ61" s="50">
        <v>0</v>
      </c>
      <c r="AK61" s="50">
        <v>301.30000000000109</v>
      </c>
      <c r="AL61" s="470"/>
      <c r="AM61" s="458">
        <v>0</v>
      </c>
      <c r="AN61" s="458">
        <v>0</v>
      </c>
      <c r="AO61" s="458">
        <v>0</v>
      </c>
      <c r="AP61" s="50">
        <v>807.59999999999991</v>
      </c>
      <c r="AQ61" s="470"/>
      <c r="AR61" s="50">
        <v>0</v>
      </c>
      <c r="AS61" s="50">
        <v>0</v>
      </c>
      <c r="AT61" s="50">
        <v>0</v>
      </c>
      <c r="AU61" s="50">
        <v>296.7</v>
      </c>
      <c r="AV61" s="470"/>
      <c r="AW61" s="50">
        <v>0</v>
      </c>
      <c r="AX61" s="50">
        <v>0</v>
      </c>
      <c r="AY61" s="50">
        <v>0</v>
      </c>
      <c r="AZ61" s="50">
        <v>394.30000000000109</v>
      </c>
      <c r="BA61" s="470"/>
      <c r="BB61" s="50">
        <v>0</v>
      </c>
      <c r="BC61" s="50">
        <v>0</v>
      </c>
      <c r="BD61" s="50">
        <v>0</v>
      </c>
      <c r="BE61" s="50">
        <v>690</v>
      </c>
      <c r="BF61" s="470"/>
      <c r="BG61" s="50">
        <v>0</v>
      </c>
      <c r="BH61" s="50">
        <v>0</v>
      </c>
      <c r="BI61" s="50">
        <v>0</v>
      </c>
      <c r="BJ61" s="50">
        <v>497.40000000000003</v>
      </c>
      <c r="BK61" s="470"/>
      <c r="BL61" s="50">
        <v>0</v>
      </c>
      <c r="BM61" s="50">
        <v>0</v>
      </c>
      <c r="BN61" s="50">
        <v>0</v>
      </c>
      <c r="BO61" s="518">
        <v>396.9</v>
      </c>
      <c r="BP61" s="470"/>
      <c r="BQ61" s="50">
        <v>0</v>
      </c>
      <c r="BR61" s="50">
        <v>0</v>
      </c>
      <c r="BS61" s="50">
        <v>0</v>
      </c>
      <c r="BT61" s="518">
        <v>745.90000000000055</v>
      </c>
      <c r="BU61" s="470"/>
      <c r="BV61" s="50"/>
      <c r="BW61" s="50"/>
      <c r="BX61" s="50"/>
      <c r="BY61" s="50"/>
      <c r="BZ61" s="470"/>
      <c r="CA61" s="50"/>
      <c r="CB61" s="50"/>
      <c r="CC61" s="50"/>
      <c r="CD61" s="50"/>
      <c r="CE61" s="470"/>
      <c r="CF61" s="50"/>
      <c r="CG61" s="50"/>
      <c r="CH61" s="50"/>
      <c r="CI61" s="50"/>
      <c r="CJ61" s="470"/>
      <c r="CK61" s="50"/>
      <c r="CL61" s="50"/>
      <c r="CM61" s="50"/>
      <c r="CN61" s="50"/>
      <c r="CO61" s="470"/>
      <c r="CP61" s="50"/>
      <c r="CQ61" s="50"/>
      <c r="CR61" s="50"/>
      <c r="CS61" s="50"/>
      <c r="CT61" s="470"/>
      <c r="CU61" s="50"/>
      <c r="CV61" s="50"/>
      <c r="CW61" s="50"/>
      <c r="CX61" s="50"/>
      <c r="CY61" s="470"/>
      <c r="CZ61" s="50"/>
      <c r="DA61" s="50"/>
      <c r="DB61" s="50"/>
      <c r="DC61" s="50"/>
      <c r="DD61" s="470"/>
      <c r="DE61" s="50"/>
      <c r="DF61" s="50"/>
      <c r="DG61" s="50"/>
      <c r="DH61" s="50"/>
      <c r="DI61" s="470"/>
      <c r="DJ61" s="50"/>
      <c r="DK61" s="50"/>
      <c r="DL61" s="50"/>
      <c r="DM61" s="50"/>
      <c r="DN61" s="470"/>
      <c r="DO61" s="50"/>
      <c r="DP61" s="50"/>
      <c r="DQ61" s="50"/>
      <c r="DR61" s="50"/>
      <c r="DS61" s="470"/>
      <c r="DT61" s="50"/>
      <c r="DU61" s="50"/>
      <c r="DV61" s="50"/>
      <c r="DW61" s="50"/>
      <c r="DX61" s="470"/>
      <c r="DY61" s="50"/>
      <c r="DZ61" s="50"/>
      <c r="EA61" s="50"/>
      <c r="EB61" s="50"/>
      <c r="EC61" s="470"/>
      <c r="ED61" s="50"/>
      <c r="EE61" s="50"/>
      <c r="EF61" s="50"/>
      <c r="EG61" s="50"/>
      <c r="EH61" s="470"/>
      <c r="EI61" s="50"/>
      <c r="EJ61" s="50"/>
      <c r="EK61" s="50"/>
      <c r="EL61" s="50"/>
      <c r="EM61" s="470"/>
      <c r="EN61" s="50"/>
      <c r="EO61" s="50"/>
      <c r="EP61" s="50"/>
      <c r="EQ61" s="50"/>
      <c r="ER61" s="470"/>
      <c r="ES61" s="50"/>
      <c r="ET61" s="50"/>
      <c r="EU61" s="50"/>
      <c r="EV61" s="50"/>
      <c r="EW61" s="470"/>
      <c r="EX61" s="50"/>
      <c r="EY61" s="50"/>
      <c r="EZ61" s="50"/>
      <c r="FA61" s="50"/>
      <c r="FB61" s="470"/>
      <c r="FC61" s="50"/>
      <c r="FD61" s="50"/>
      <c r="FE61" s="50"/>
      <c r="FF61" s="50"/>
      <c r="FG61" s="470"/>
      <c r="FH61" s="50"/>
      <c r="FI61" s="50"/>
      <c r="FJ61" s="50"/>
      <c r="FK61" s="50"/>
      <c r="FL61" s="470"/>
      <c r="FM61" s="50"/>
      <c r="FN61" s="50"/>
      <c r="FO61" s="50"/>
      <c r="FP61" s="50"/>
      <c r="FQ61" s="470"/>
      <c r="FR61" s="50"/>
      <c r="FS61" s="50"/>
      <c r="FT61" s="50"/>
      <c r="FU61" s="50"/>
      <c r="FV61" s="470"/>
      <c r="FW61" s="50"/>
      <c r="FX61" s="50"/>
      <c r="FY61" s="50"/>
      <c r="FZ61" s="50"/>
      <c r="GA61" s="470"/>
      <c r="GB61" s="50"/>
      <c r="GC61" s="50"/>
      <c r="GD61" s="50"/>
      <c r="GE61" s="50"/>
      <c r="GF61" s="470"/>
      <c r="GG61" s="50"/>
      <c r="GH61" s="50"/>
      <c r="GI61" s="50"/>
      <c r="GJ61" s="50"/>
      <c r="GK61" s="470"/>
      <c r="GL61" s="50"/>
      <c r="GM61" s="50"/>
      <c r="GN61" s="50"/>
      <c r="GO61" s="50"/>
      <c r="GP61" s="470"/>
      <c r="GQ61" s="50"/>
      <c r="GR61" s="50"/>
      <c r="GS61" s="50"/>
      <c r="GT61" s="50"/>
      <c r="GU61" s="470"/>
      <c r="GZ61" s="143"/>
      <c r="HA61" s="464"/>
      <c r="HI61" s="143"/>
      <c r="HJ61" s="464"/>
      <c r="HR61" s="143"/>
      <c r="HS61" s="464"/>
      <c r="IB61" s="464"/>
      <c r="IK61" s="464"/>
      <c r="IT61" s="464"/>
      <c r="JC61" s="464"/>
      <c r="JL61" s="464"/>
      <c r="JU61" s="464"/>
      <c r="KD61" s="464"/>
      <c r="KM61" s="464"/>
      <c r="KV61" s="464"/>
      <c r="LE61" s="464"/>
      <c r="MF61" s="464"/>
      <c r="MO61" s="464"/>
      <c r="MX61" s="464"/>
      <c r="NG61" s="464"/>
      <c r="NP61" s="464"/>
      <c r="NY61" s="464"/>
      <c r="OE61" s="37"/>
    </row>
    <row r="62" spans="1:396" ht="18">
      <c r="A62" s="41" t="s">
        <v>763</v>
      </c>
      <c r="B62" s="46">
        <f t="shared" si="1"/>
        <v>46614.750000000007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0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0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0"/>
      <c r="S62" s="458">
        <v>68.624999999999886</v>
      </c>
      <c r="T62" s="50">
        <v>25.350000000000023</v>
      </c>
      <c r="U62" s="508">
        <v>204.90000000000055</v>
      </c>
      <c r="V62" s="50">
        <f>'Punten per wedstrijd'!F61</f>
        <v>248.2999999999995</v>
      </c>
      <c r="W62" s="470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0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70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0"/>
      <c r="AM62" s="458">
        <v>128.875</v>
      </c>
      <c r="AN62" s="458">
        <v>355.55000000000018</v>
      </c>
      <c r="AO62" s="458">
        <v>267.75</v>
      </c>
      <c r="AP62" s="50">
        <v>282.00000000000091</v>
      </c>
      <c r="AQ62" s="470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70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70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70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70"/>
      <c r="BL62" s="50">
        <v>0</v>
      </c>
      <c r="BM62" s="50">
        <v>31.499999999999545</v>
      </c>
      <c r="BN62" s="50">
        <v>61.049999999998363</v>
      </c>
      <c r="BO62" s="518">
        <v>153.5</v>
      </c>
      <c r="BP62" s="470"/>
      <c r="BQ62" s="50">
        <v>93.799999999999272</v>
      </c>
      <c r="BR62" s="50">
        <v>180.64999999999918</v>
      </c>
      <c r="BS62" s="50">
        <v>136.19999999999891</v>
      </c>
      <c r="BT62" s="518">
        <v>270.00000000000182</v>
      </c>
      <c r="BU62" s="470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0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0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0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0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0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0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0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0"/>
      <c r="DJ62" s="50">
        <v>41.074999999999363</v>
      </c>
      <c r="DK62" s="50">
        <v>0</v>
      </c>
      <c r="DL62" s="50">
        <v>0</v>
      </c>
      <c r="DM62" s="50">
        <v>0</v>
      </c>
      <c r="DN62" s="470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0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0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0"/>
      <c r="ED62" s="50">
        <v>51.249999999999545</v>
      </c>
      <c r="EE62" s="50">
        <v>0</v>
      </c>
      <c r="EF62" s="50">
        <v>0</v>
      </c>
      <c r="EG62" s="50">
        <v>0</v>
      </c>
      <c r="EH62" s="470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0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0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0"/>
      <c r="EX62" s="50">
        <v>39.875</v>
      </c>
      <c r="EY62" s="50">
        <v>0</v>
      </c>
      <c r="EZ62" s="50">
        <v>0</v>
      </c>
      <c r="FA62" s="50">
        <v>242.100000000004</v>
      </c>
      <c r="FB62" s="470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0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0"/>
      <c r="FM62" s="50">
        <v>53.300000000000182</v>
      </c>
      <c r="FN62" s="50">
        <v>0</v>
      </c>
      <c r="FO62" s="50">
        <v>0</v>
      </c>
      <c r="FP62" s="50">
        <v>120.40000000000327</v>
      </c>
      <c r="FQ62" s="470"/>
      <c r="FR62" s="50">
        <v>32.850000000000364</v>
      </c>
      <c r="FS62" s="50">
        <v>0</v>
      </c>
      <c r="FT62" s="50">
        <v>0</v>
      </c>
      <c r="FU62" s="50">
        <v>454.10000000000218</v>
      </c>
      <c r="FV62" s="470"/>
      <c r="FW62" s="50">
        <v>95.925000000000637</v>
      </c>
      <c r="FX62" s="50">
        <v>0</v>
      </c>
      <c r="FY62" s="50">
        <v>0</v>
      </c>
      <c r="FZ62" s="50">
        <v>0</v>
      </c>
      <c r="GA62" s="470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0"/>
      <c r="GG62" s="50">
        <v>133.79999999999836</v>
      </c>
      <c r="GH62" s="50">
        <v>0</v>
      </c>
      <c r="GI62" s="50">
        <v>0</v>
      </c>
      <c r="GJ62" s="50">
        <v>0</v>
      </c>
      <c r="GK62" s="470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0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0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50177.850000000144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0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0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0"/>
      <c r="S63" s="458">
        <v>56.849999999999909</v>
      </c>
      <c r="T63" s="50">
        <v>49.699999999999932</v>
      </c>
      <c r="U63" s="508">
        <v>275.25000000000034</v>
      </c>
      <c r="V63" s="50">
        <f>'Punten per wedstrijd'!F62</f>
        <v>327.2000000000005</v>
      </c>
      <c r="W63" s="470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0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70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0"/>
      <c r="AM63" s="458">
        <v>119.32499999999993</v>
      </c>
      <c r="AN63" s="458">
        <v>158.32499999999982</v>
      </c>
      <c r="AO63" s="458">
        <v>227.36250000000041</v>
      </c>
      <c r="AP63" s="50">
        <v>484.19999999999982</v>
      </c>
      <c r="AQ63" s="470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70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70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70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70"/>
      <c r="BL63" s="50">
        <v>0</v>
      </c>
      <c r="BM63" s="50">
        <v>51.899999999999181</v>
      </c>
      <c r="BN63" s="50">
        <v>71.437500000001364</v>
      </c>
      <c r="BO63" s="518">
        <v>154.80000000000001</v>
      </c>
      <c r="BP63" s="470"/>
      <c r="BQ63" s="50">
        <v>107.87500000000045</v>
      </c>
      <c r="BR63" s="50">
        <v>192.77499999999964</v>
      </c>
      <c r="BS63" s="50">
        <v>201.11250000000041</v>
      </c>
      <c r="BT63" s="518">
        <v>522.90000000000146</v>
      </c>
      <c r="BU63" s="470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0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0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0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0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0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0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0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0"/>
      <c r="DJ63" s="50">
        <v>70.500000000000227</v>
      </c>
      <c r="DK63" s="50">
        <v>0</v>
      </c>
      <c r="DL63" s="50">
        <v>0</v>
      </c>
      <c r="DM63" s="50">
        <v>0</v>
      </c>
      <c r="DN63" s="470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0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0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0"/>
      <c r="ED63" s="50">
        <v>20.625</v>
      </c>
      <c r="EE63" s="50">
        <v>0</v>
      </c>
      <c r="EF63" s="50">
        <v>0</v>
      </c>
      <c r="EG63" s="50">
        <v>0</v>
      </c>
      <c r="EH63" s="470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0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0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0"/>
      <c r="EX63" s="50">
        <v>31.125</v>
      </c>
      <c r="EY63" s="50">
        <v>0</v>
      </c>
      <c r="EZ63" s="50">
        <v>0</v>
      </c>
      <c r="FA63" s="50">
        <v>169.69999999999709</v>
      </c>
      <c r="FB63" s="470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0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0"/>
      <c r="FM63" s="50">
        <v>127.62500000000091</v>
      </c>
      <c r="FN63" s="50">
        <v>0</v>
      </c>
      <c r="FO63" s="50">
        <v>0</v>
      </c>
      <c r="FP63" s="50">
        <v>191.09999999999854</v>
      </c>
      <c r="FQ63" s="470"/>
      <c r="FR63" s="50">
        <v>64.650000000000546</v>
      </c>
      <c r="FS63" s="50">
        <v>0</v>
      </c>
      <c r="FT63" s="50">
        <v>0</v>
      </c>
      <c r="FU63" s="50">
        <v>408.5</v>
      </c>
      <c r="FV63" s="470"/>
      <c r="FW63" s="50">
        <v>11.075000000000045</v>
      </c>
      <c r="FX63" s="50">
        <v>0</v>
      </c>
      <c r="FY63" s="50">
        <v>0</v>
      </c>
      <c r="FZ63" s="50">
        <v>0</v>
      </c>
      <c r="GA63" s="470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0"/>
      <c r="GG63" s="50">
        <v>4.9500000000016371</v>
      </c>
      <c r="GH63" s="50">
        <v>0</v>
      </c>
      <c r="GI63" s="50">
        <v>0</v>
      </c>
      <c r="GJ63" s="50">
        <v>0</v>
      </c>
      <c r="GK63" s="470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0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0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57081.925000000258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0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0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0"/>
      <c r="S64" s="458">
        <v>77.874999999999886</v>
      </c>
      <c r="T64" s="50">
        <v>140.6500000000002</v>
      </c>
      <c r="U64" s="508">
        <v>150.52499999999969</v>
      </c>
      <c r="V64" s="50">
        <f>'Punten per wedstrijd'!F63</f>
        <v>253.5</v>
      </c>
      <c r="W64" s="470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0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70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0"/>
      <c r="AM64" s="458">
        <v>158.49999999999989</v>
      </c>
      <c r="AN64" s="458">
        <v>250.64999999999918</v>
      </c>
      <c r="AO64" s="458">
        <v>356.85000000000014</v>
      </c>
      <c r="AP64" s="50">
        <v>481.19999999999982</v>
      </c>
      <c r="AQ64" s="470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70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70"/>
      <c r="BB64" s="50">
        <v>0</v>
      </c>
      <c r="BC64" s="50">
        <v>216.94999999999891</v>
      </c>
      <c r="BD64" s="50">
        <v>249.97499999999945</v>
      </c>
      <c r="BE64" s="50">
        <v>487</v>
      </c>
      <c r="BF64" s="470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70"/>
      <c r="BL64" s="50">
        <v>0</v>
      </c>
      <c r="BM64" s="50">
        <v>11.650000000000091</v>
      </c>
      <c r="BN64" s="50">
        <v>173.24999999999932</v>
      </c>
      <c r="BO64" s="518">
        <v>177.3</v>
      </c>
      <c r="BP64" s="470"/>
      <c r="BQ64" s="50">
        <v>95.324999999999363</v>
      </c>
      <c r="BR64" s="50">
        <v>238.25000000000045</v>
      </c>
      <c r="BS64" s="50">
        <v>169.19999999999823</v>
      </c>
      <c r="BT64" s="518">
        <v>518.30000000000018</v>
      </c>
      <c r="BU64" s="470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0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0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0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0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0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0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0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0"/>
      <c r="DJ64" s="50">
        <v>110.66250000000082</v>
      </c>
      <c r="DK64" s="50">
        <v>0</v>
      </c>
      <c r="DL64" s="50">
        <v>0</v>
      </c>
      <c r="DM64" s="50">
        <v>0</v>
      </c>
      <c r="DN64" s="470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0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0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0"/>
      <c r="ED64" s="50">
        <v>9.1499999999996362</v>
      </c>
      <c r="EE64" s="50">
        <v>0</v>
      </c>
      <c r="EF64" s="50">
        <v>0</v>
      </c>
      <c r="EG64" s="50">
        <v>0</v>
      </c>
      <c r="EH64" s="470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0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0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0"/>
      <c r="EX64" s="50">
        <v>82.337499999998727</v>
      </c>
      <c r="EY64" s="50">
        <v>0</v>
      </c>
      <c r="EZ64" s="50">
        <v>0</v>
      </c>
      <c r="FA64" s="50">
        <v>268.09999999999854</v>
      </c>
      <c r="FB64" s="470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0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0"/>
      <c r="FM64" s="50">
        <v>123.37499999999909</v>
      </c>
      <c r="FN64" s="50">
        <v>0</v>
      </c>
      <c r="FO64" s="50">
        <v>0</v>
      </c>
      <c r="FP64" s="50">
        <v>295.200000000008</v>
      </c>
      <c r="FQ64" s="470"/>
      <c r="FR64" s="50">
        <v>53.412499999998545</v>
      </c>
      <c r="FS64" s="50">
        <v>0</v>
      </c>
      <c r="FT64" s="50">
        <v>0</v>
      </c>
      <c r="FU64" s="50">
        <v>602.00000000000364</v>
      </c>
      <c r="FV64" s="470"/>
      <c r="FW64" s="50">
        <v>68.975000000000591</v>
      </c>
      <c r="FX64" s="50">
        <v>0</v>
      </c>
      <c r="FY64" s="50">
        <v>0</v>
      </c>
      <c r="FZ64" s="50">
        <v>0</v>
      </c>
      <c r="GA64" s="470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0"/>
      <c r="GG64" s="50">
        <v>101.45000000000073</v>
      </c>
      <c r="GH64" s="50">
        <v>0</v>
      </c>
      <c r="GI64" s="50">
        <v>0</v>
      </c>
      <c r="GJ64" s="50">
        <v>0</v>
      </c>
      <c r="GK64" s="470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0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0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45734.775000000009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0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0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0"/>
      <c r="S65" s="458">
        <v>18.525000000000091</v>
      </c>
      <c r="T65" s="50">
        <v>81.700000000000102</v>
      </c>
      <c r="U65" s="508">
        <v>288.37499999999983</v>
      </c>
      <c r="V65" s="50">
        <f>'Punten per wedstrijd'!F64</f>
        <v>232.19999999999982</v>
      </c>
      <c r="W65" s="470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0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70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0"/>
      <c r="AM65" s="458">
        <v>101.47500000000002</v>
      </c>
      <c r="AN65" s="458">
        <v>206.40000000000032</v>
      </c>
      <c r="AO65" s="458">
        <v>251.02500000000055</v>
      </c>
      <c r="AP65" s="50">
        <v>653.10000000000127</v>
      </c>
      <c r="AQ65" s="470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70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70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70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70"/>
      <c r="BL65" s="50">
        <v>0</v>
      </c>
      <c r="BM65" s="50">
        <v>109.79999999999973</v>
      </c>
      <c r="BN65" s="50">
        <v>322.5</v>
      </c>
      <c r="BO65" s="518">
        <v>249.89999999999998</v>
      </c>
      <c r="BP65" s="470"/>
      <c r="BQ65" s="50">
        <v>81.874999999999545</v>
      </c>
      <c r="BR65" s="50">
        <v>278.90000000000009</v>
      </c>
      <c r="BS65" s="50">
        <v>248.40000000000055</v>
      </c>
      <c r="BT65" s="518">
        <v>502.70000000000073</v>
      </c>
      <c r="BU65" s="470"/>
      <c r="BV65" s="50">
        <v>0</v>
      </c>
      <c r="BW65" s="50">
        <v>0</v>
      </c>
      <c r="BX65" s="50">
        <v>452.62499999999932</v>
      </c>
      <c r="BY65" s="50">
        <v>533.99999999999909</v>
      </c>
      <c r="BZ65" s="470"/>
      <c r="CA65" s="50">
        <v>0</v>
      </c>
      <c r="CB65" s="50">
        <v>0</v>
      </c>
      <c r="CC65" s="50">
        <v>163.34999999999945</v>
      </c>
      <c r="CD65" s="50">
        <v>247.99999999999909</v>
      </c>
      <c r="CE65" s="470"/>
      <c r="CF65" s="50">
        <v>0</v>
      </c>
      <c r="CG65" s="50">
        <v>0</v>
      </c>
      <c r="CH65" s="50">
        <v>209.47499999999945</v>
      </c>
      <c r="CI65" s="50">
        <v>219.50000000000091</v>
      </c>
      <c r="CJ65" s="470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0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0"/>
      <c r="CU65" s="50">
        <v>0</v>
      </c>
      <c r="CV65" s="50">
        <v>0</v>
      </c>
      <c r="CW65" s="50">
        <v>178.57499999999891</v>
      </c>
      <c r="CX65" s="50">
        <v>273.20000000000164</v>
      </c>
      <c r="CY65" s="470"/>
      <c r="CZ65" s="50">
        <v>0</v>
      </c>
      <c r="DA65" s="50">
        <v>0</v>
      </c>
      <c r="DB65" s="50">
        <v>105.59999999999673</v>
      </c>
      <c r="DC65" s="50">
        <v>192.00000000000182</v>
      </c>
      <c r="DD65" s="470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0"/>
      <c r="DJ65" s="50">
        <v>0</v>
      </c>
      <c r="DK65" s="50">
        <v>0</v>
      </c>
      <c r="DL65" s="50">
        <v>0</v>
      </c>
      <c r="DM65" s="50">
        <v>0</v>
      </c>
      <c r="DN65" s="470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0"/>
      <c r="DT65" s="50">
        <v>0</v>
      </c>
      <c r="DU65" s="50">
        <v>0</v>
      </c>
      <c r="DV65" s="50">
        <v>239.77500000000055</v>
      </c>
      <c r="DW65" s="50">
        <v>449.50000000000182</v>
      </c>
      <c r="DX65" s="470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0"/>
      <c r="ED65" s="50">
        <v>0</v>
      </c>
      <c r="EE65" s="50">
        <v>0</v>
      </c>
      <c r="EF65" s="50">
        <v>0</v>
      </c>
      <c r="EG65" s="50">
        <v>0</v>
      </c>
      <c r="EH65" s="470"/>
      <c r="EI65" s="50">
        <v>0</v>
      </c>
      <c r="EJ65" s="50">
        <v>0</v>
      </c>
      <c r="EK65" s="50">
        <v>94.874999999997272</v>
      </c>
      <c r="EL65" s="50">
        <v>239.00000000000364</v>
      </c>
      <c r="EM65" s="470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0"/>
      <c r="ES65" s="50">
        <v>0</v>
      </c>
      <c r="ET65" s="50">
        <v>205.79999999999836</v>
      </c>
      <c r="EU65" s="50">
        <v>226.79999999999836</v>
      </c>
      <c r="EV65" s="50">
        <v>0</v>
      </c>
      <c r="EW65" s="470"/>
      <c r="EX65" s="50">
        <v>0</v>
      </c>
      <c r="EY65" s="50">
        <v>0</v>
      </c>
      <c r="EZ65" s="50">
        <v>0</v>
      </c>
      <c r="FA65" s="50">
        <v>333.00000000000364</v>
      </c>
      <c r="FB65" s="470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0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0"/>
      <c r="FM65" s="50">
        <v>0</v>
      </c>
      <c r="FN65" s="50">
        <v>0</v>
      </c>
      <c r="FO65" s="50">
        <v>0</v>
      </c>
      <c r="FP65" s="50">
        <v>182.40000000000146</v>
      </c>
      <c r="FQ65" s="470"/>
      <c r="FR65" s="50">
        <v>0</v>
      </c>
      <c r="FS65" s="50">
        <v>0</v>
      </c>
      <c r="FT65" s="50">
        <v>0</v>
      </c>
      <c r="FU65" s="50">
        <v>308.30000000000655</v>
      </c>
      <c r="FV65" s="470"/>
      <c r="FW65" s="50">
        <v>0</v>
      </c>
      <c r="FX65" s="50">
        <v>0</v>
      </c>
      <c r="FY65" s="50">
        <v>0</v>
      </c>
      <c r="FZ65" s="50">
        <v>0</v>
      </c>
      <c r="GA65" s="470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0"/>
      <c r="GG65" s="50">
        <v>0</v>
      </c>
      <c r="GH65" s="50">
        <v>0</v>
      </c>
      <c r="GI65" s="50">
        <v>0</v>
      </c>
      <c r="GJ65" s="50">
        <v>0</v>
      </c>
      <c r="GK65" s="470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0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0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45880.599999999911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0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0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0"/>
      <c r="S66" s="458">
        <v>73.39999999999992</v>
      </c>
      <c r="T66" s="50">
        <v>142.29999999999984</v>
      </c>
      <c r="U66" s="508">
        <v>274.72499999999997</v>
      </c>
      <c r="V66" s="50">
        <f>'Punten per wedstrijd'!F65</f>
        <v>580.29999999999995</v>
      </c>
      <c r="W66" s="470"/>
      <c r="X66" s="50">
        <v>17.10000000000025</v>
      </c>
      <c r="Y66" s="50">
        <v>356.5</v>
      </c>
      <c r="Z66" s="50">
        <v>321.37500000000017</v>
      </c>
      <c r="AA66" s="50">
        <v>183</v>
      </c>
      <c r="AB66" s="470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70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0"/>
      <c r="AM66" s="458">
        <v>99.575000000000273</v>
      </c>
      <c r="AN66" s="458">
        <v>297.19999999999936</v>
      </c>
      <c r="AO66" s="458">
        <v>412.68750000000136</v>
      </c>
      <c r="AP66" s="50">
        <v>677.09999999999945</v>
      </c>
      <c r="AQ66" s="470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70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70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70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70"/>
      <c r="BL66" s="50">
        <v>0</v>
      </c>
      <c r="BM66" s="50">
        <v>6.5000000000004547</v>
      </c>
      <c r="BN66" s="50">
        <v>222.78750000000286</v>
      </c>
      <c r="BO66" s="518">
        <v>437</v>
      </c>
      <c r="BP66" s="470"/>
      <c r="BQ66" s="50">
        <v>50.700000000000273</v>
      </c>
      <c r="BR66" s="50">
        <v>223.40000000000055</v>
      </c>
      <c r="BS66" s="50">
        <v>225.78750000000218</v>
      </c>
      <c r="BT66" s="518">
        <v>593.69999999999982</v>
      </c>
      <c r="BU66" s="470"/>
      <c r="BV66" s="50">
        <v>0</v>
      </c>
      <c r="BW66" s="50">
        <v>0</v>
      </c>
      <c r="BX66" s="50">
        <v>463.95000000000027</v>
      </c>
      <c r="BY66" s="50">
        <v>455.40000000000146</v>
      </c>
      <c r="BZ66" s="470"/>
      <c r="CA66" s="50">
        <v>0</v>
      </c>
      <c r="CB66" s="50">
        <v>0</v>
      </c>
      <c r="CC66" s="50">
        <v>140.24999999999454</v>
      </c>
      <c r="CD66" s="50">
        <v>240.49999999999909</v>
      </c>
      <c r="CE66" s="470"/>
      <c r="CF66" s="50">
        <v>0</v>
      </c>
      <c r="CG66" s="50">
        <v>0</v>
      </c>
      <c r="CH66" s="50">
        <v>385.875</v>
      </c>
      <c r="CI66" s="50">
        <v>444.40000000000146</v>
      </c>
      <c r="CJ66" s="470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0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0"/>
      <c r="CU66" s="50">
        <v>0</v>
      </c>
      <c r="CV66" s="50">
        <v>0</v>
      </c>
      <c r="CW66" s="50">
        <v>200.40000000000055</v>
      </c>
      <c r="CX66" s="50">
        <v>120.19999999999891</v>
      </c>
      <c r="CY66" s="470"/>
      <c r="CZ66" s="50">
        <v>0</v>
      </c>
      <c r="DA66" s="50">
        <v>0</v>
      </c>
      <c r="DB66" s="50">
        <v>139.5</v>
      </c>
      <c r="DC66" s="50">
        <v>245.29999999999927</v>
      </c>
      <c r="DD66" s="470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0"/>
      <c r="DJ66" s="50">
        <v>0</v>
      </c>
      <c r="DK66" s="50">
        <v>0</v>
      </c>
      <c r="DL66" s="50">
        <v>0</v>
      </c>
      <c r="DM66" s="50">
        <v>0</v>
      </c>
      <c r="DN66" s="470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0"/>
      <c r="DT66" s="50">
        <v>0</v>
      </c>
      <c r="DU66" s="50">
        <v>0</v>
      </c>
      <c r="DV66" s="50">
        <v>325.12499999999864</v>
      </c>
      <c r="DW66" s="50">
        <v>340.59999999999854</v>
      </c>
      <c r="DX66" s="470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0"/>
      <c r="ED66" s="50">
        <v>0</v>
      </c>
      <c r="EE66" s="50">
        <v>0</v>
      </c>
      <c r="EF66" s="50">
        <v>0</v>
      </c>
      <c r="EG66" s="50">
        <v>0</v>
      </c>
      <c r="EH66" s="470"/>
      <c r="EI66" s="50">
        <v>0</v>
      </c>
      <c r="EJ66" s="50">
        <v>0</v>
      </c>
      <c r="EK66" s="50">
        <v>199.650000000006</v>
      </c>
      <c r="EL66" s="50">
        <v>281.99999999999272</v>
      </c>
      <c r="EM66" s="470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0"/>
      <c r="ES66" s="50">
        <v>0</v>
      </c>
      <c r="ET66" s="50">
        <v>335.25</v>
      </c>
      <c r="EU66" s="50">
        <v>361.87499999999727</v>
      </c>
      <c r="EV66" s="50">
        <v>0</v>
      </c>
      <c r="EW66" s="470"/>
      <c r="EX66" s="50">
        <v>0</v>
      </c>
      <c r="EY66" s="50">
        <v>0</v>
      </c>
      <c r="EZ66" s="50">
        <v>0</v>
      </c>
      <c r="FA66" s="50">
        <v>187.29999999999563</v>
      </c>
      <c r="FB66" s="470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0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0"/>
      <c r="FM66" s="50">
        <v>0</v>
      </c>
      <c r="FN66" s="50">
        <v>0</v>
      </c>
      <c r="FO66" s="50">
        <v>0</v>
      </c>
      <c r="FP66" s="50">
        <v>325.59999999999491</v>
      </c>
      <c r="FQ66" s="470"/>
      <c r="FR66" s="50">
        <v>0</v>
      </c>
      <c r="FS66" s="50">
        <v>0</v>
      </c>
      <c r="FT66" s="50">
        <v>0</v>
      </c>
      <c r="FU66" s="50">
        <v>337.09999999999491</v>
      </c>
      <c r="FV66" s="470"/>
      <c r="FW66" s="50">
        <v>0</v>
      </c>
      <c r="FX66" s="50">
        <v>0</v>
      </c>
      <c r="FY66" s="50">
        <v>0</v>
      </c>
      <c r="FZ66" s="50">
        <v>0</v>
      </c>
      <c r="GA66" s="470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0"/>
      <c r="GG66" s="50">
        <v>0</v>
      </c>
      <c r="GH66" s="50">
        <v>0</v>
      </c>
      <c r="GI66" s="50">
        <v>0</v>
      </c>
      <c r="GJ66" s="50">
        <v>0</v>
      </c>
      <c r="GK66" s="470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0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0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3378</v>
      </c>
      <c r="B67" s="46">
        <f t="shared" si="1"/>
        <v>6744.3500000000049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0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0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0"/>
      <c r="S67" s="458">
        <v>0</v>
      </c>
      <c r="T67" s="50">
        <v>0</v>
      </c>
      <c r="U67" s="508">
        <v>0</v>
      </c>
      <c r="V67" s="50">
        <f>'Punten per wedstrijd'!F66</f>
        <v>244</v>
      </c>
      <c r="W67" s="470"/>
      <c r="X67" s="50">
        <v>0</v>
      </c>
      <c r="Y67" s="50">
        <v>0</v>
      </c>
      <c r="Z67" s="50">
        <v>0</v>
      </c>
      <c r="AA67" s="50">
        <v>49.399999999999636</v>
      </c>
      <c r="AB67" s="470"/>
      <c r="AC67" s="50">
        <v>0</v>
      </c>
      <c r="AD67" s="50">
        <v>0</v>
      </c>
      <c r="AE67" s="50">
        <v>0</v>
      </c>
      <c r="AF67" s="50">
        <v>585.09999999999991</v>
      </c>
      <c r="AG67" s="470"/>
      <c r="AH67" s="50">
        <v>0</v>
      </c>
      <c r="AI67" s="50">
        <v>0</v>
      </c>
      <c r="AJ67" s="50">
        <v>0</v>
      </c>
      <c r="AK67" s="50">
        <v>604.34999999999991</v>
      </c>
      <c r="AL67" s="470"/>
      <c r="AM67" s="458">
        <v>0</v>
      </c>
      <c r="AN67" s="458">
        <v>0</v>
      </c>
      <c r="AO67" s="458">
        <v>0</v>
      </c>
      <c r="AP67" s="50">
        <v>710.05000000000109</v>
      </c>
      <c r="AQ67" s="470"/>
      <c r="AR67" s="50">
        <v>0</v>
      </c>
      <c r="AS67" s="50">
        <v>0</v>
      </c>
      <c r="AT67" s="50">
        <v>0</v>
      </c>
      <c r="AU67" s="50">
        <v>136.5</v>
      </c>
      <c r="AV67" s="470"/>
      <c r="AW67" s="50">
        <v>0</v>
      </c>
      <c r="AX67" s="50">
        <v>0</v>
      </c>
      <c r="AY67" s="50">
        <v>0</v>
      </c>
      <c r="AZ67" s="50">
        <v>909.60000000000218</v>
      </c>
      <c r="BA67" s="470"/>
      <c r="BB67" s="50">
        <v>0</v>
      </c>
      <c r="BC67" s="50">
        <v>0</v>
      </c>
      <c r="BD67" s="50">
        <v>0</v>
      </c>
      <c r="BE67" s="50">
        <v>707.8</v>
      </c>
      <c r="BF67" s="470"/>
      <c r="BG67" s="50">
        <v>0</v>
      </c>
      <c r="BH67" s="50">
        <v>0</v>
      </c>
      <c r="BI67" s="50">
        <v>0</v>
      </c>
      <c r="BJ67" s="50">
        <v>500.5</v>
      </c>
      <c r="BK67" s="470"/>
      <c r="BL67" s="50">
        <v>0</v>
      </c>
      <c r="BM67" s="50">
        <v>0</v>
      </c>
      <c r="BN67" s="50">
        <v>0</v>
      </c>
      <c r="BO67" s="518">
        <v>201.3</v>
      </c>
      <c r="BP67" s="470"/>
      <c r="BQ67" s="50">
        <v>0</v>
      </c>
      <c r="BR67" s="50">
        <v>0</v>
      </c>
      <c r="BS67" s="50">
        <v>0</v>
      </c>
      <c r="BT67" s="518">
        <v>588.85000000000218</v>
      </c>
      <c r="BU67" s="470"/>
      <c r="BV67" s="50"/>
      <c r="BW67" s="50"/>
      <c r="BX67" s="50"/>
      <c r="BY67" s="50"/>
      <c r="BZ67" s="470"/>
      <c r="CA67" s="50"/>
      <c r="CB67" s="50"/>
      <c r="CC67" s="50"/>
      <c r="CD67" s="50"/>
      <c r="CE67" s="470"/>
      <c r="CF67" s="50"/>
      <c r="CG67" s="50"/>
      <c r="CH67" s="50"/>
      <c r="CI67" s="50"/>
      <c r="CJ67" s="470"/>
      <c r="CK67" s="50"/>
      <c r="CL67" s="50"/>
      <c r="CM67" s="50"/>
      <c r="CN67" s="50"/>
      <c r="CO67" s="470"/>
      <c r="CP67" s="50"/>
      <c r="CQ67" s="50"/>
      <c r="CR67" s="50"/>
      <c r="CS67" s="50"/>
      <c r="CT67" s="470"/>
      <c r="CU67" s="50"/>
      <c r="CV67" s="50"/>
      <c r="CW67" s="50"/>
      <c r="CX67" s="50"/>
      <c r="CY67" s="470"/>
      <c r="CZ67" s="50"/>
      <c r="DA67" s="50"/>
      <c r="DB67" s="50"/>
      <c r="DC67" s="50"/>
      <c r="DD67" s="470"/>
      <c r="DE67" s="50"/>
      <c r="DF67" s="50"/>
      <c r="DG67" s="50"/>
      <c r="DH67" s="50"/>
      <c r="DI67" s="470"/>
      <c r="DJ67" s="50"/>
      <c r="DK67" s="50"/>
      <c r="DL67" s="50"/>
      <c r="DM67" s="50"/>
      <c r="DN67" s="470"/>
      <c r="DO67" s="50"/>
      <c r="DP67" s="50"/>
      <c r="DQ67" s="50"/>
      <c r="DR67" s="50"/>
      <c r="DS67" s="470"/>
      <c r="DT67" s="50"/>
      <c r="DU67" s="50"/>
      <c r="DV67" s="50"/>
      <c r="DW67" s="50"/>
      <c r="DX67" s="470"/>
      <c r="DY67" s="50"/>
      <c r="DZ67" s="50"/>
      <c r="EA67" s="50"/>
      <c r="EB67" s="50"/>
      <c r="EC67" s="470"/>
      <c r="ED67" s="50"/>
      <c r="EE67" s="50"/>
      <c r="EF67" s="50"/>
      <c r="EG67" s="50"/>
      <c r="EH67" s="470"/>
      <c r="EI67" s="50"/>
      <c r="EJ67" s="50"/>
      <c r="EK67" s="50"/>
      <c r="EL67" s="50"/>
      <c r="EM67" s="470"/>
      <c r="EN67" s="50"/>
      <c r="EO67" s="50"/>
      <c r="EP67" s="50"/>
      <c r="EQ67" s="50"/>
      <c r="ER67" s="470"/>
      <c r="ES67" s="50"/>
      <c r="ET67" s="50"/>
      <c r="EU67" s="50"/>
      <c r="EV67" s="50"/>
      <c r="EW67" s="470"/>
      <c r="EX67" s="50"/>
      <c r="EY67" s="50"/>
      <c r="EZ67" s="50"/>
      <c r="FA67" s="50"/>
      <c r="FB67" s="470"/>
      <c r="FC67" s="50"/>
      <c r="FD67" s="50"/>
      <c r="FE67" s="50"/>
      <c r="FF67" s="50"/>
      <c r="FG67" s="470"/>
      <c r="FH67" s="50"/>
      <c r="FI67" s="50"/>
      <c r="FJ67" s="50"/>
      <c r="FK67" s="50"/>
      <c r="FL67" s="470"/>
      <c r="FM67" s="50"/>
      <c r="FN67" s="50"/>
      <c r="FO67" s="50"/>
      <c r="FP67" s="50"/>
      <c r="FQ67" s="470"/>
      <c r="FR67" s="50"/>
      <c r="FS67" s="50"/>
      <c r="FT67" s="50"/>
      <c r="FU67" s="50"/>
      <c r="FV67" s="470"/>
      <c r="FW67" s="50"/>
      <c r="FX67" s="50"/>
      <c r="FY67" s="50"/>
      <c r="FZ67" s="50"/>
      <c r="GA67" s="470"/>
      <c r="GB67" s="50"/>
      <c r="GC67" s="50"/>
      <c r="GD67" s="50"/>
      <c r="GE67" s="50"/>
      <c r="GF67" s="470"/>
      <c r="GG67" s="50"/>
      <c r="GH67" s="50"/>
      <c r="GI67" s="50"/>
      <c r="GJ67" s="50"/>
      <c r="GK67" s="470"/>
      <c r="GL67" s="50"/>
      <c r="GM67" s="50"/>
      <c r="GN67" s="50"/>
      <c r="GO67" s="50"/>
      <c r="GP67" s="470"/>
      <c r="GQ67" s="50"/>
      <c r="GR67" s="50"/>
      <c r="GS67" s="50"/>
      <c r="GT67" s="50"/>
      <c r="GU67" s="470"/>
      <c r="HA67" s="464"/>
      <c r="HJ67" s="464"/>
      <c r="HS67" s="464"/>
      <c r="IB67" s="464"/>
      <c r="IK67" s="464"/>
      <c r="IT67" s="464"/>
      <c r="JC67" s="464"/>
      <c r="JL67" s="464"/>
      <c r="JU67" s="464"/>
      <c r="KD67" s="464"/>
      <c r="KM67" s="464"/>
      <c r="KV67" s="464"/>
      <c r="LE67" s="464"/>
      <c r="MF67" s="464"/>
      <c r="MO67" s="464"/>
      <c r="MX67" s="464"/>
      <c r="NG67" s="464"/>
      <c r="NP67" s="464"/>
      <c r="NY67" s="464"/>
      <c r="OE67" s="37"/>
    </row>
    <row r="68" spans="1:396" ht="18">
      <c r="A68" s="41" t="s">
        <v>746</v>
      </c>
      <c r="B68" s="46">
        <f t="shared" si="1"/>
        <v>55214.050000000323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0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0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0"/>
      <c r="S68" s="458">
        <v>25.500000000000057</v>
      </c>
      <c r="T68" s="50">
        <v>129.04999999999984</v>
      </c>
      <c r="U68" s="508">
        <v>246</v>
      </c>
      <c r="V68" s="50">
        <f>'Punten per wedstrijd'!F67</f>
        <v>299</v>
      </c>
      <c r="W68" s="470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0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70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0"/>
      <c r="AM68" s="458">
        <v>90.299999999999841</v>
      </c>
      <c r="AN68" s="458">
        <v>263.49999999999977</v>
      </c>
      <c r="AO68" s="458">
        <v>226.61249999999973</v>
      </c>
      <c r="AP68" s="50">
        <v>515.050000000002</v>
      </c>
      <c r="AQ68" s="470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70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70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70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70"/>
      <c r="BL68" s="50">
        <v>0</v>
      </c>
      <c r="BM68" s="50">
        <v>106.14999999999918</v>
      </c>
      <c r="BN68" s="50">
        <v>144.18749999999659</v>
      </c>
      <c r="BO68" s="518">
        <v>323.3</v>
      </c>
      <c r="BP68" s="470"/>
      <c r="BQ68" s="50">
        <v>85.099999999999</v>
      </c>
      <c r="BR68" s="50">
        <v>234.49999999999955</v>
      </c>
      <c r="BS68" s="50">
        <v>156.93749999999659</v>
      </c>
      <c r="BT68" s="518">
        <v>556.20000000000073</v>
      </c>
      <c r="BU68" s="470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0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0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0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0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0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0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0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0"/>
      <c r="DJ68" s="50">
        <v>78.462500000000546</v>
      </c>
      <c r="DK68" s="50">
        <v>0</v>
      </c>
      <c r="DL68" s="50">
        <v>0</v>
      </c>
      <c r="DM68" s="50">
        <v>0</v>
      </c>
      <c r="DN68" s="470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0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0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0"/>
      <c r="ED68" s="50">
        <v>38.999999999999091</v>
      </c>
      <c r="EE68" s="50">
        <v>0</v>
      </c>
      <c r="EF68" s="50">
        <v>0</v>
      </c>
      <c r="EG68" s="50">
        <v>0</v>
      </c>
      <c r="EH68" s="470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0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0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0"/>
      <c r="EX68" s="50">
        <v>110.387499999998</v>
      </c>
      <c r="EY68" s="50">
        <v>0</v>
      </c>
      <c r="EZ68" s="50">
        <v>0</v>
      </c>
      <c r="FA68" s="50">
        <v>305.00000000000364</v>
      </c>
      <c r="FB68" s="470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0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0"/>
      <c r="FM68" s="50">
        <v>84.874999999998181</v>
      </c>
      <c r="FN68" s="50">
        <v>0</v>
      </c>
      <c r="FO68" s="50">
        <v>0</v>
      </c>
      <c r="FP68" s="50">
        <v>113.50000000000728</v>
      </c>
      <c r="FQ68" s="470"/>
      <c r="FR68" s="50">
        <v>20.137499999998909</v>
      </c>
      <c r="FS68" s="50">
        <v>0</v>
      </c>
      <c r="FT68" s="50">
        <v>0</v>
      </c>
      <c r="FU68" s="50">
        <v>448.50000000000364</v>
      </c>
      <c r="FV68" s="470"/>
      <c r="FW68" s="50">
        <v>38.475000000000364</v>
      </c>
      <c r="FX68" s="50">
        <v>0</v>
      </c>
      <c r="FY68" s="50">
        <v>0</v>
      </c>
      <c r="FZ68" s="50">
        <v>0</v>
      </c>
      <c r="GA68" s="470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0"/>
      <c r="GG68" s="50">
        <v>158.79999999999745</v>
      </c>
      <c r="GH68" s="50">
        <v>0</v>
      </c>
      <c r="GI68" s="50">
        <v>0</v>
      </c>
      <c r="GJ68" s="50">
        <v>0</v>
      </c>
      <c r="GK68" s="470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0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0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48083.099999999547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0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0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0"/>
      <c r="S69" s="458">
        <v>44.375</v>
      </c>
      <c r="T69" s="50">
        <v>90.450000000000045</v>
      </c>
      <c r="U69" s="508">
        <v>380.32499999999993</v>
      </c>
      <c r="V69" s="50">
        <f>'Punten per wedstrijd'!F68</f>
        <v>234.69999999999959</v>
      </c>
      <c r="W69" s="470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0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70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0"/>
      <c r="AM69" s="458">
        <v>134.59999999999991</v>
      </c>
      <c r="AN69" s="458">
        <v>157.14999999999873</v>
      </c>
      <c r="AO69" s="458">
        <v>302.99999999999932</v>
      </c>
      <c r="AP69" s="50">
        <v>499.30000000000064</v>
      </c>
      <c r="AQ69" s="470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70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70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70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70"/>
      <c r="BL69" s="50">
        <v>0</v>
      </c>
      <c r="BM69" s="50">
        <v>142.349999999999</v>
      </c>
      <c r="BN69" s="50">
        <v>302.24999999999795</v>
      </c>
      <c r="BO69" s="518">
        <v>314</v>
      </c>
      <c r="BP69" s="470"/>
      <c r="BQ69" s="50">
        <v>45.349999999999909</v>
      </c>
      <c r="BR69" s="50">
        <v>202.04999999999973</v>
      </c>
      <c r="BS69" s="50">
        <v>442.79999999999905</v>
      </c>
      <c r="BT69" s="518">
        <v>500.49999999999909</v>
      </c>
      <c r="BU69" s="470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0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0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0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0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0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0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0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0"/>
      <c r="DJ69" s="50">
        <v>123.89999999999873</v>
      </c>
      <c r="DK69" s="50">
        <v>0</v>
      </c>
      <c r="DL69" s="50">
        <v>0</v>
      </c>
      <c r="DM69" s="50">
        <v>0</v>
      </c>
      <c r="DN69" s="470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0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0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0"/>
      <c r="ED69" s="50">
        <v>19.374999999998181</v>
      </c>
      <c r="EE69" s="50">
        <v>0</v>
      </c>
      <c r="EF69" s="50">
        <v>0</v>
      </c>
      <c r="EG69" s="50">
        <v>0</v>
      </c>
      <c r="EH69" s="470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0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0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0"/>
      <c r="EX69" s="50">
        <v>39.874999999998181</v>
      </c>
      <c r="EY69" s="50">
        <v>0</v>
      </c>
      <c r="EZ69" s="50">
        <v>0</v>
      </c>
      <c r="FA69" s="50">
        <v>337.45000000000073</v>
      </c>
      <c r="FB69" s="470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0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0"/>
      <c r="FM69" s="50">
        <v>72.374999999999091</v>
      </c>
      <c r="FN69" s="50">
        <v>0</v>
      </c>
      <c r="FO69" s="50">
        <v>0</v>
      </c>
      <c r="FP69" s="50">
        <v>333.049999999992</v>
      </c>
      <c r="FQ69" s="470"/>
      <c r="FR69" s="50">
        <v>17.199999999998909</v>
      </c>
      <c r="FS69" s="50">
        <v>0</v>
      </c>
      <c r="FT69" s="50">
        <v>0</v>
      </c>
      <c r="FU69" s="50">
        <v>383.99999999999636</v>
      </c>
      <c r="FV69" s="470"/>
      <c r="FW69" s="50">
        <v>6.7250000000003638</v>
      </c>
      <c r="FX69" s="50">
        <v>0</v>
      </c>
      <c r="FY69" s="50">
        <v>0</v>
      </c>
      <c r="FZ69" s="50">
        <v>0</v>
      </c>
      <c r="GA69" s="470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0"/>
      <c r="GG69" s="50">
        <v>99.925000000000182</v>
      </c>
      <c r="GH69" s="50">
        <v>0</v>
      </c>
      <c r="GI69" s="50">
        <v>0</v>
      </c>
      <c r="GJ69" s="50">
        <v>0</v>
      </c>
      <c r="GK69" s="470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0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0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51934.374999999724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0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0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0"/>
      <c r="S70" s="458">
        <v>47.25</v>
      </c>
      <c r="T70" s="50">
        <v>60.699999999999818</v>
      </c>
      <c r="U70" s="508">
        <v>262.79999999999956</v>
      </c>
      <c r="V70" s="50">
        <f>'Punten per wedstrijd'!F69</f>
        <v>243.09999999999968</v>
      </c>
      <c r="W70" s="470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0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70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0"/>
      <c r="AM70" s="458">
        <v>114.65000000000043</v>
      </c>
      <c r="AN70" s="458">
        <v>297.19999999999993</v>
      </c>
      <c r="AO70" s="458">
        <v>219.22499999999945</v>
      </c>
      <c r="AP70" s="50">
        <v>432.300000000002</v>
      </c>
      <c r="AQ70" s="470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70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70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70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70"/>
      <c r="BL70" s="50">
        <v>0</v>
      </c>
      <c r="BM70" s="50">
        <v>3.0000000000004547</v>
      </c>
      <c r="BN70" s="50">
        <v>278.84999999999945</v>
      </c>
      <c r="BO70" s="518">
        <v>157.69999999999999</v>
      </c>
      <c r="BP70" s="470"/>
      <c r="BQ70" s="50">
        <v>78.999999999999091</v>
      </c>
      <c r="BR70" s="50">
        <v>169.05000000000018</v>
      </c>
      <c r="BS70" s="50">
        <v>169.64999999999918</v>
      </c>
      <c r="BT70" s="518">
        <v>489.19999999999891</v>
      </c>
      <c r="BU70" s="470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0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0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0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0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0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0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0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0"/>
      <c r="DJ70" s="50">
        <v>70.837500000000546</v>
      </c>
      <c r="DK70" s="50">
        <v>0</v>
      </c>
      <c r="DL70" s="50">
        <v>0</v>
      </c>
      <c r="DM70" s="50">
        <v>0</v>
      </c>
      <c r="DN70" s="470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0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0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0"/>
      <c r="ED70" s="50">
        <v>58.500000000000909</v>
      </c>
      <c r="EE70" s="50">
        <v>0</v>
      </c>
      <c r="EF70" s="50">
        <v>0</v>
      </c>
      <c r="EG70" s="50">
        <v>0</v>
      </c>
      <c r="EH70" s="470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0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0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0"/>
      <c r="EX70" s="50">
        <v>78.837500000000546</v>
      </c>
      <c r="EY70" s="50">
        <v>0</v>
      </c>
      <c r="EZ70" s="50">
        <v>0</v>
      </c>
      <c r="FA70" s="50">
        <v>251.99999999998909</v>
      </c>
      <c r="FB70" s="470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0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0"/>
      <c r="FM70" s="50">
        <v>128.65000000000146</v>
      </c>
      <c r="FN70" s="50">
        <v>0</v>
      </c>
      <c r="FO70" s="50">
        <v>0</v>
      </c>
      <c r="FP70" s="50">
        <v>194.99999999999636</v>
      </c>
      <c r="FQ70" s="470"/>
      <c r="FR70" s="50">
        <v>69.637500000001637</v>
      </c>
      <c r="FS70" s="50">
        <v>0</v>
      </c>
      <c r="FT70" s="50">
        <v>0</v>
      </c>
      <c r="FU70" s="50">
        <v>300</v>
      </c>
      <c r="FV70" s="470"/>
      <c r="FW70" s="50">
        <v>37.825000000000728</v>
      </c>
      <c r="FX70" s="50">
        <v>0</v>
      </c>
      <c r="FY70" s="50">
        <v>0</v>
      </c>
      <c r="FZ70" s="50">
        <v>0</v>
      </c>
      <c r="GA70" s="470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0"/>
      <c r="GG70" s="50">
        <v>27.450000000000728</v>
      </c>
      <c r="GH70" s="50">
        <v>0</v>
      </c>
      <c r="GI70" s="50">
        <v>0</v>
      </c>
      <c r="GJ70" s="50">
        <v>0</v>
      </c>
      <c r="GK70" s="470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0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0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59469.987499999886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0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0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0"/>
      <c r="S71" s="458">
        <v>40.099999999999909</v>
      </c>
      <c r="T71" s="50">
        <v>124.19999999999982</v>
      </c>
      <c r="U71" s="508">
        <v>212.70000000000027</v>
      </c>
      <c r="V71" s="50">
        <f>'Punten per wedstrijd'!F70</f>
        <v>138.39999999999986</v>
      </c>
      <c r="W71" s="470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0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70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0"/>
      <c r="AM71" s="458">
        <v>143.02499999999998</v>
      </c>
      <c r="AN71" s="458">
        <v>276.54999999999927</v>
      </c>
      <c r="AO71" s="458">
        <v>299.85000000000014</v>
      </c>
      <c r="AP71" s="50">
        <v>548.00000000000091</v>
      </c>
      <c r="AQ71" s="470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70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70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70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70"/>
      <c r="BL71" s="50">
        <v>0</v>
      </c>
      <c r="BM71" s="50">
        <v>8.3999999999987267</v>
      </c>
      <c r="BN71" s="50">
        <v>185.92499999999905</v>
      </c>
      <c r="BO71" s="518">
        <v>70.2</v>
      </c>
      <c r="BP71" s="470"/>
      <c r="BQ71" s="50">
        <v>27.825000000000273</v>
      </c>
      <c r="BR71" s="50">
        <v>170.59999999999945</v>
      </c>
      <c r="BS71" s="50">
        <v>182.69999999999891</v>
      </c>
      <c r="BT71" s="518">
        <v>383.00000000000182</v>
      </c>
      <c r="BU71" s="470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0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0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0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0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0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0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0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0"/>
      <c r="DJ71" s="50">
        <v>146.62500000000045</v>
      </c>
      <c r="DK71" s="50">
        <v>0</v>
      </c>
      <c r="DL71" s="50">
        <v>0</v>
      </c>
      <c r="DM71" s="50">
        <v>0</v>
      </c>
      <c r="DN71" s="470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0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0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0"/>
      <c r="ED71" s="50">
        <v>33.375000000000909</v>
      </c>
      <c r="EE71" s="50">
        <v>0</v>
      </c>
      <c r="EF71" s="50">
        <v>0</v>
      </c>
      <c r="EG71" s="50">
        <v>0</v>
      </c>
      <c r="EH71" s="470"/>
      <c r="EI71" s="50">
        <v>55.775000000000546</v>
      </c>
      <c r="EJ71" s="50">
        <v>0</v>
      </c>
      <c r="EK71" s="50">
        <v>150.97499999999673</v>
      </c>
      <c r="EL71" s="50">
        <v>376</v>
      </c>
      <c r="EM71" s="470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0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0"/>
      <c r="EX71" s="50">
        <v>82.999999999997272</v>
      </c>
      <c r="EY71" s="50">
        <v>0</v>
      </c>
      <c r="EZ71" s="50">
        <v>0</v>
      </c>
      <c r="FA71" s="50">
        <v>275.90000000000146</v>
      </c>
      <c r="FB71" s="470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0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0"/>
      <c r="FM71" s="50">
        <v>83.824999999998909</v>
      </c>
      <c r="FN71" s="50">
        <v>0</v>
      </c>
      <c r="FO71" s="50">
        <v>0</v>
      </c>
      <c r="FP71" s="50">
        <v>426.60000000000582</v>
      </c>
      <c r="FQ71" s="470"/>
      <c r="FR71" s="50">
        <v>23.224999999999454</v>
      </c>
      <c r="FS71" s="50">
        <v>0</v>
      </c>
      <c r="FT71" s="50">
        <v>0</v>
      </c>
      <c r="FU71" s="50">
        <v>523.60000000000582</v>
      </c>
      <c r="FV71" s="470"/>
      <c r="FW71" s="50">
        <v>21.924999999999727</v>
      </c>
      <c r="FX71" s="50">
        <v>0</v>
      </c>
      <c r="FY71" s="50">
        <v>0</v>
      </c>
      <c r="FZ71" s="50">
        <v>0</v>
      </c>
      <c r="GA71" s="470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0"/>
      <c r="GG71" s="50">
        <v>110.64999999999964</v>
      </c>
      <c r="GH71" s="50">
        <v>0</v>
      </c>
      <c r="GI71" s="50">
        <v>0</v>
      </c>
      <c r="GJ71" s="50">
        <v>0</v>
      </c>
      <c r="GK71" s="470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0"/>
      <c r="GQ71" s="50">
        <v>51.375</v>
      </c>
      <c r="GR71" s="50">
        <v>126.49999999999636</v>
      </c>
      <c r="GS71" s="50">
        <v>248.25</v>
      </c>
      <c r="GT71" s="50">
        <v>306.5</v>
      </c>
      <c r="GU71" s="470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3390</v>
      </c>
      <c r="B72" s="46">
        <f t="shared" si="2"/>
        <v>6858.5000000000027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0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0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0"/>
      <c r="S72" s="458">
        <v>0</v>
      </c>
      <c r="T72" s="50">
        <v>0</v>
      </c>
      <c r="U72" s="508">
        <v>0</v>
      </c>
      <c r="V72" s="50">
        <f>'Punten per wedstrijd'!F71</f>
        <v>423.30000000000018</v>
      </c>
      <c r="W72" s="470"/>
      <c r="X72" s="50">
        <v>0</v>
      </c>
      <c r="Y72" s="50">
        <v>0</v>
      </c>
      <c r="Z72" s="50">
        <v>0</v>
      </c>
      <c r="AA72" s="50">
        <v>383.20000000000027</v>
      </c>
      <c r="AB72" s="470"/>
      <c r="AC72" s="50">
        <v>0</v>
      </c>
      <c r="AD72" s="50">
        <v>0</v>
      </c>
      <c r="AE72" s="50">
        <v>0</v>
      </c>
      <c r="AF72" s="50">
        <v>765.80000000000018</v>
      </c>
      <c r="AG72" s="470"/>
      <c r="AH72" s="50">
        <v>0</v>
      </c>
      <c r="AI72" s="50">
        <v>0</v>
      </c>
      <c r="AJ72" s="50">
        <v>0</v>
      </c>
      <c r="AK72" s="50">
        <v>462.60000000000036</v>
      </c>
      <c r="AL72" s="470"/>
      <c r="AM72" s="458">
        <v>0</v>
      </c>
      <c r="AN72" s="458">
        <v>0</v>
      </c>
      <c r="AO72" s="458">
        <v>0</v>
      </c>
      <c r="AP72" s="50">
        <v>697.30000000000109</v>
      </c>
      <c r="AQ72" s="470"/>
      <c r="AR72" s="50">
        <v>0</v>
      </c>
      <c r="AS72" s="50">
        <v>0</v>
      </c>
      <c r="AT72" s="50">
        <v>0</v>
      </c>
      <c r="AU72" s="50">
        <v>356.1</v>
      </c>
      <c r="AV72" s="470"/>
      <c r="AW72" s="50">
        <v>0</v>
      </c>
      <c r="AX72" s="50">
        <v>0</v>
      </c>
      <c r="AY72" s="50">
        <v>0</v>
      </c>
      <c r="AZ72" s="50">
        <v>772.90000000000055</v>
      </c>
      <c r="BA72" s="470"/>
      <c r="BB72" s="50">
        <v>0</v>
      </c>
      <c r="BC72" s="50">
        <v>0</v>
      </c>
      <c r="BD72" s="50">
        <v>0</v>
      </c>
      <c r="BE72" s="50">
        <v>551.20000000000005</v>
      </c>
      <c r="BF72" s="470"/>
      <c r="BG72" s="50">
        <v>0</v>
      </c>
      <c r="BH72" s="50">
        <v>0</v>
      </c>
      <c r="BI72" s="50">
        <v>0</v>
      </c>
      <c r="BJ72" s="50">
        <v>385.2</v>
      </c>
      <c r="BK72" s="470"/>
      <c r="BL72" s="50">
        <v>0</v>
      </c>
      <c r="BM72" s="50">
        <v>0</v>
      </c>
      <c r="BN72" s="50">
        <v>0</v>
      </c>
      <c r="BO72" s="518">
        <v>375.5</v>
      </c>
      <c r="BP72" s="470"/>
      <c r="BQ72" s="50">
        <v>0</v>
      </c>
      <c r="BR72" s="50">
        <v>0</v>
      </c>
      <c r="BS72" s="50">
        <v>0</v>
      </c>
      <c r="BT72" s="518">
        <v>645.19999999999982</v>
      </c>
      <c r="BU72" s="470"/>
      <c r="BV72" s="50"/>
      <c r="BW72" s="50"/>
      <c r="BX72" s="50"/>
      <c r="BY72" s="50"/>
      <c r="BZ72" s="470"/>
      <c r="CA72" s="50"/>
      <c r="CB72" s="50"/>
      <c r="CC72" s="50"/>
      <c r="CD72" s="50"/>
      <c r="CE72" s="470"/>
      <c r="CF72" s="50"/>
      <c r="CG72" s="50"/>
      <c r="CH72" s="50"/>
      <c r="CI72" s="50"/>
      <c r="CJ72" s="470"/>
      <c r="CK72" s="50"/>
      <c r="CL72" s="50"/>
      <c r="CM72" s="50"/>
      <c r="CN72" s="50"/>
      <c r="CO72" s="470"/>
      <c r="CP72" s="50"/>
      <c r="CQ72" s="50"/>
      <c r="CR72" s="50"/>
      <c r="CS72" s="50"/>
      <c r="CT72" s="470"/>
      <c r="CU72" s="50"/>
      <c r="CV72" s="50"/>
      <c r="CW72" s="50"/>
      <c r="CX72" s="50"/>
      <c r="CY72" s="470"/>
      <c r="CZ72" s="50"/>
      <c r="DA72" s="50"/>
      <c r="DB72" s="50"/>
      <c r="DC72" s="50"/>
      <c r="DD72" s="470"/>
      <c r="DE72" s="50"/>
      <c r="DF72" s="50"/>
      <c r="DG72" s="50"/>
      <c r="DH72" s="50"/>
      <c r="DI72" s="470"/>
      <c r="DJ72" s="50"/>
      <c r="DK72" s="50"/>
      <c r="DL72" s="50"/>
      <c r="DM72" s="50"/>
      <c r="DN72" s="470"/>
      <c r="DO72" s="50"/>
      <c r="DP72" s="50"/>
      <c r="DQ72" s="50"/>
      <c r="DR72" s="50"/>
      <c r="DS72" s="470"/>
      <c r="DT72" s="50"/>
      <c r="DU72" s="50"/>
      <c r="DV72" s="50"/>
      <c r="DW72" s="50"/>
      <c r="DX72" s="470"/>
      <c r="DY72" s="50"/>
      <c r="DZ72" s="50"/>
      <c r="EA72" s="50"/>
      <c r="EB72" s="50"/>
      <c r="EC72" s="470"/>
      <c r="ED72" s="50"/>
      <c r="EE72" s="50"/>
      <c r="EF72" s="50"/>
      <c r="EG72" s="50"/>
      <c r="EH72" s="470"/>
      <c r="EI72" s="50"/>
      <c r="EJ72" s="50"/>
      <c r="EK72" s="50"/>
      <c r="EL72" s="50"/>
      <c r="EM72" s="470"/>
      <c r="EN72" s="50"/>
      <c r="EO72" s="50"/>
      <c r="EP72" s="50"/>
      <c r="EQ72" s="50"/>
      <c r="ER72" s="470"/>
      <c r="ES72" s="50"/>
      <c r="ET72" s="50"/>
      <c r="EU72" s="50"/>
      <c r="EV72" s="50"/>
      <c r="EW72" s="470"/>
      <c r="EX72" s="50"/>
      <c r="EY72" s="50"/>
      <c r="EZ72" s="50"/>
      <c r="FA72" s="50"/>
      <c r="FB72" s="470"/>
      <c r="FC72" s="50"/>
      <c r="FD72" s="50"/>
      <c r="FE72" s="50"/>
      <c r="FF72" s="50"/>
      <c r="FG72" s="470"/>
      <c r="FH72" s="50"/>
      <c r="FI72" s="50"/>
      <c r="FJ72" s="50"/>
      <c r="FK72" s="50"/>
      <c r="FL72" s="470"/>
      <c r="FM72" s="50"/>
      <c r="FN72" s="50"/>
      <c r="FO72" s="50"/>
      <c r="FP72" s="50"/>
      <c r="FQ72" s="470"/>
      <c r="FR72" s="50"/>
      <c r="FS72" s="50"/>
      <c r="FT72" s="50"/>
      <c r="FU72" s="50"/>
      <c r="FV72" s="470"/>
      <c r="FW72" s="50"/>
      <c r="FX72" s="50"/>
      <c r="FY72" s="50"/>
      <c r="FZ72" s="50"/>
      <c r="GA72" s="470"/>
      <c r="GB72" s="50"/>
      <c r="GC72" s="50"/>
      <c r="GD72" s="50"/>
      <c r="GE72" s="50"/>
      <c r="GF72" s="470"/>
      <c r="GG72" s="50"/>
      <c r="GH72" s="50"/>
      <c r="GI72" s="50"/>
      <c r="GJ72" s="50"/>
      <c r="GK72" s="470"/>
      <c r="GL72" s="50"/>
      <c r="GM72" s="50"/>
      <c r="GN72" s="50"/>
      <c r="GO72" s="50"/>
      <c r="GP72" s="470"/>
      <c r="GQ72" s="50"/>
      <c r="GR72" s="50"/>
      <c r="GS72" s="50"/>
      <c r="GT72" s="50"/>
      <c r="GU72" s="470"/>
      <c r="GZ72" s="143"/>
      <c r="HA72" s="464"/>
      <c r="HI72" s="143"/>
      <c r="HJ72" s="464"/>
      <c r="HR72" s="143"/>
      <c r="HS72" s="464"/>
      <c r="IB72" s="464"/>
      <c r="IK72" s="464"/>
      <c r="IT72" s="464"/>
      <c r="JC72" s="464"/>
      <c r="JL72" s="464"/>
      <c r="JU72" s="464"/>
      <c r="KD72" s="464"/>
      <c r="KM72" s="464"/>
      <c r="KV72" s="464"/>
      <c r="LE72" s="464"/>
      <c r="MF72" s="464"/>
      <c r="MO72" s="464"/>
      <c r="MX72" s="464"/>
      <c r="NG72" s="464"/>
      <c r="NP72" s="464"/>
      <c r="NY72" s="464"/>
      <c r="OE72" s="37"/>
    </row>
    <row r="73" spans="1:396" ht="18">
      <c r="A73" s="41" t="s">
        <v>764</v>
      </c>
      <c r="B73" s="46">
        <f t="shared" si="2"/>
        <v>49406.800000000134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0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0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0"/>
      <c r="S73" s="458">
        <v>20.624999999999886</v>
      </c>
      <c r="T73" s="50">
        <v>46.449999999999875</v>
      </c>
      <c r="U73" s="508">
        <v>130.5</v>
      </c>
      <c r="V73" s="50">
        <f>'Punten per wedstrijd'!F72</f>
        <v>132.59999999999968</v>
      </c>
      <c r="W73" s="470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0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70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0"/>
      <c r="AM73" s="458">
        <v>74.975000000000023</v>
      </c>
      <c r="AN73" s="458">
        <v>256.79999999999927</v>
      </c>
      <c r="AO73" s="458">
        <v>189.82499999999993</v>
      </c>
      <c r="AP73" s="50">
        <v>304.49999999999909</v>
      </c>
      <c r="AQ73" s="470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70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70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70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70"/>
      <c r="BL73" s="50">
        <v>0</v>
      </c>
      <c r="BM73" s="50">
        <v>13.099999999999909</v>
      </c>
      <c r="BN73" s="50">
        <v>34.125000000000682</v>
      </c>
      <c r="BO73" s="518">
        <v>42</v>
      </c>
      <c r="BP73" s="470"/>
      <c r="BQ73" s="50">
        <v>12.750000000000455</v>
      </c>
      <c r="BR73" s="50">
        <v>145.15000000000009</v>
      </c>
      <c r="BS73" s="50">
        <v>117.82500000000095</v>
      </c>
      <c r="BT73" s="518">
        <v>309.09999999999945</v>
      </c>
      <c r="BU73" s="470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0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0"/>
      <c r="CF73" s="50">
        <v>36.375000000000227</v>
      </c>
      <c r="CG73" s="50">
        <v>0</v>
      </c>
      <c r="CH73" s="50">
        <v>395.02500000000055</v>
      </c>
      <c r="CI73" s="50">
        <v>0</v>
      </c>
      <c r="CJ73" s="470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0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0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0"/>
      <c r="CZ73" s="50">
        <v>0</v>
      </c>
      <c r="DA73" s="50">
        <v>0</v>
      </c>
      <c r="DB73" s="50">
        <v>214.05000000000655</v>
      </c>
      <c r="DC73" s="50">
        <v>119.99999999999818</v>
      </c>
      <c r="DD73" s="470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0"/>
      <c r="DJ73" s="50">
        <v>56.675000000000182</v>
      </c>
      <c r="DK73" s="50">
        <v>0</v>
      </c>
      <c r="DL73" s="50">
        <v>0</v>
      </c>
      <c r="DM73" s="50">
        <v>0</v>
      </c>
      <c r="DN73" s="470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0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0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0"/>
      <c r="ED73" s="50">
        <v>74.774999999999636</v>
      </c>
      <c r="EE73" s="50">
        <v>0</v>
      </c>
      <c r="EF73" s="50">
        <v>0</v>
      </c>
      <c r="EG73" s="50">
        <v>0</v>
      </c>
      <c r="EH73" s="470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0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0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0"/>
      <c r="EX73" s="50">
        <v>36.125000000000909</v>
      </c>
      <c r="EY73" s="50">
        <v>0</v>
      </c>
      <c r="EZ73" s="50">
        <v>0</v>
      </c>
      <c r="FA73" s="50">
        <v>266.90000000000509</v>
      </c>
      <c r="FB73" s="470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0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0"/>
      <c r="FM73" s="50">
        <v>46.025000000002365</v>
      </c>
      <c r="FN73" s="50">
        <v>0</v>
      </c>
      <c r="FO73" s="50">
        <v>0</v>
      </c>
      <c r="FP73" s="50">
        <v>245.60000000000218</v>
      </c>
      <c r="FQ73" s="470"/>
      <c r="FR73" s="50">
        <v>24.700000000001637</v>
      </c>
      <c r="FS73" s="50">
        <v>0</v>
      </c>
      <c r="FT73" s="50">
        <v>0</v>
      </c>
      <c r="FU73" s="50">
        <v>470.50000000000728</v>
      </c>
      <c r="FV73" s="470"/>
      <c r="FW73" s="50">
        <v>39.125000000000227</v>
      </c>
      <c r="FX73" s="50">
        <v>0</v>
      </c>
      <c r="FY73" s="50">
        <v>0</v>
      </c>
      <c r="FZ73" s="50">
        <v>0</v>
      </c>
      <c r="GA73" s="470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0"/>
      <c r="GG73" s="50">
        <v>77.225000000001273</v>
      </c>
      <c r="GH73" s="50">
        <v>0</v>
      </c>
      <c r="GI73" s="50">
        <v>0</v>
      </c>
      <c r="GJ73" s="50">
        <v>0</v>
      </c>
      <c r="GK73" s="470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0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0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55194.775000000067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0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0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0"/>
      <c r="S74" s="458">
        <v>61.999999999999943</v>
      </c>
      <c r="T74" s="50">
        <v>125.64999999999986</v>
      </c>
      <c r="U74" s="508">
        <v>134.17499999999956</v>
      </c>
      <c r="V74" s="50">
        <f>'Punten per wedstrijd'!F73</f>
        <v>249.5</v>
      </c>
      <c r="W74" s="470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0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70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0"/>
      <c r="AM74" s="458">
        <v>153.45000000000005</v>
      </c>
      <c r="AN74" s="458">
        <v>232.14999999999964</v>
      </c>
      <c r="AO74" s="458">
        <v>288.90000000000055</v>
      </c>
      <c r="AP74" s="50">
        <v>652.50000000000091</v>
      </c>
      <c r="AQ74" s="470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70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70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70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70"/>
      <c r="BL74" s="50">
        <v>0</v>
      </c>
      <c r="BM74" s="50">
        <v>66.949999999999818</v>
      </c>
      <c r="BN74" s="50">
        <v>305.09999999999945</v>
      </c>
      <c r="BO74" s="518">
        <v>144.5</v>
      </c>
      <c r="BP74" s="470"/>
      <c r="BQ74" s="50">
        <v>62.525000000000091</v>
      </c>
      <c r="BR74" s="50">
        <v>189.59999999999991</v>
      </c>
      <c r="BS74" s="50">
        <v>208.125</v>
      </c>
      <c r="BT74" s="518">
        <v>517.59999999999945</v>
      </c>
      <c r="BU74" s="470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0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0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0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0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0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0"/>
      <c r="CZ74" s="50">
        <v>0</v>
      </c>
      <c r="DA74" s="50">
        <v>0</v>
      </c>
      <c r="DB74" s="50">
        <v>142.5</v>
      </c>
      <c r="DC74" s="50">
        <v>180.00000000000182</v>
      </c>
      <c r="DD74" s="470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0"/>
      <c r="DJ74" s="50">
        <v>81.324999999999363</v>
      </c>
      <c r="DK74" s="50">
        <v>0</v>
      </c>
      <c r="DL74" s="50">
        <v>0</v>
      </c>
      <c r="DM74" s="50">
        <v>0</v>
      </c>
      <c r="DN74" s="470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0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0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0"/>
      <c r="ED74" s="50">
        <v>46.724999999998545</v>
      </c>
      <c r="EE74" s="50">
        <v>0</v>
      </c>
      <c r="EF74" s="50">
        <v>0</v>
      </c>
      <c r="EG74" s="50">
        <v>0</v>
      </c>
      <c r="EH74" s="470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0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0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0"/>
      <c r="EX74" s="50">
        <v>123.5</v>
      </c>
      <c r="EY74" s="50">
        <v>0</v>
      </c>
      <c r="EZ74" s="50">
        <v>0</v>
      </c>
      <c r="FA74" s="50">
        <v>149.30000000000291</v>
      </c>
      <c r="FB74" s="470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0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0"/>
      <c r="FM74" s="50">
        <v>79.149999999999636</v>
      </c>
      <c r="FN74" s="50">
        <v>0</v>
      </c>
      <c r="FO74" s="50">
        <v>0</v>
      </c>
      <c r="FP74" s="50">
        <v>164.60000000000218</v>
      </c>
      <c r="FQ74" s="470"/>
      <c r="FR74" s="50">
        <v>27.225000000000364</v>
      </c>
      <c r="FS74" s="50">
        <v>0</v>
      </c>
      <c r="FT74" s="50">
        <v>0</v>
      </c>
      <c r="FU74" s="50">
        <v>439.80000000000655</v>
      </c>
      <c r="FV74" s="470"/>
      <c r="FW74" s="50">
        <v>62.599999999999682</v>
      </c>
      <c r="FX74" s="50">
        <v>0</v>
      </c>
      <c r="FY74" s="50">
        <v>0</v>
      </c>
      <c r="FZ74" s="50">
        <v>0</v>
      </c>
      <c r="GA74" s="470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0"/>
      <c r="GG74" s="50">
        <v>175.59999999999854</v>
      </c>
      <c r="GH74" s="50">
        <v>0</v>
      </c>
      <c r="GI74" s="50">
        <v>0</v>
      </c>
      <c r="GJ74" s="50">
        <v>0</v>
      </c>
      <c r="GK74" s="470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0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0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51013.699999999793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0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0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0"/>
      <c r="S75" s="458">
        <v>49.375</v>
      </c>
      <c r="T75" s="50">
        <v>61.099999999999966</v>
      </c>
      <c r="U75" s="508">
        <v>261.44999999999976</v>
      </c>
      <c r="V75" s="50">
        <f>'Punten per wedstrijd'!F74</f>
        <v>164</v>
      </c>
      <c r="W75" s="470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0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70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0"/>
      <c r="AM75" s="458">
        <v>89.949999999999932</v>
      </c>
      <c r="AN75" s="458">
        <v>230.70000000000005</v>
      </c>
      <c r="AO75" s="458">
        <v>249.9000000000002</v>
      </c>
      <c r="AP75" s="50">
        <v>585.99999999999818</v>
      </c>
      <c r="AQ75" s="470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70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70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70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70"/>
      <c r="BL75" s="50">
        <v>0</v>
      </c>
      <c r="BM75" s="50">
        <v>43.849999999999909</v>
      </c>
      <c r="BN75" s="50">
        <v>153.75000000000068</v>
      </c>
      <c r="BO75" s="518">
        <v>170.5</v>
      </c>
      <c r="BP75" s="470"/>
      <c r="BQ75" s="50">
        <v>66.000000000000909</v>
      </c>
      <c r="BR75" s="50">
        <v>207.85000000000036</v>
      </c>
      <c r="BS75" s="50">
        <v>235.20000000000164</v>
      </c>
      <c r="BT75" s="518">
        <v>574</v>
      </c>
      <c r="BU75" s="470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0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0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0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0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0"/>
      <c r="CU75" s="50">
        <v>91.25</v>
      </c>
      <c r="CV75" s="50">
        <v>0</v>
      </c>
      <c r="CW75" s="50">
        <v>80.399999999999181</v>
      </c>
      <c r="CX75" s="50">
        <v>577.800000000002</v>
      </c>
      <c r="CY75" s="470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0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0"/>
      <c r="DJ75" s="50">
        <v>116.96250000000009</v>
      </c>
      <c r="DK75" s="50">
        <v>0</v>
      </c>
      <c r="DL75" s="50">
        <v>0</v>
      </c>
      <c r="DM75" s="50">
        <v>0</v>
      </c>
      <c r="DN75" s="470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0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0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0"/>
      <c r="ED75" s="50">
        <v>99.25</v>
      </c>
      <c r="EE75" s="50">
        <v>0</v>
      </c>
      <c r="EF75" s="50">
        <v>0</v>
      </c>
      <c r="EG75" s="50">
        <v>0</v>
      </c>
      <c r="EH75" s="470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0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0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0"/>
      <c r="EX75" s="50">
        <v>44.812499999999091</v>
      </c>
      <c r="EY75" s="50">
        <v>0</v>
      </c>
      <c r="EZ75" s="50">
        <v>0</v>
      </c>
      <c r="FA75" s="50">
        <v>297.19999999999709</v>
      </c>
      <c r="FB75" s="470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0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0"/>
      <c r="FM75" s="50">
        <v>110.62499999999818</v>
      </c>
      <c r="FN75" s="50">
        <v>0</v>
      </c>
      <c r="FO75" s="50">
        <v>0</v>
      </c>
      <c r="FP75" s="50">
        <v>149.49999999999636</v>
      </c>
      <c r="FQ75" s="470"/>
      <c r="FR75" s="50">
        <v>53.987499999999272</v>
      </c>
      <c r="FS75" s="50">
        <v>0</v>
      </c>
      <c r="FT75" s="50">
        <v>0</v>
      </c>
      <c r="FU75" s="50">
        <v>353.49999999998909</v>
      </c>
      <c r="FV75" s="470"/>
      <c r="FW75" s="50">
        <v>58.150000000000546</v>
      </c>
      <c r="FX75" s="50">
        <v>0</v>
      </c>
      <c r="FY75" s="50">
        <v>0</v>
      </c>
      <c r="FZ75" s="50">
        <v>0</v>
      </c>
      <c r="GA75" s="470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0"/>
      <c r="GG75" s="50">
        <v>80.550000000002001</v>
      </c>
      <c r="GH75" s="50">
        <v>0</v>
      </c>
      <c r="GI75" s="50">
        <v>0</v>
      </c>
      <c r="GJ75" s="50">
        <v>0</v>
      </c>
      <c r="GK75" s="470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0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0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49968.837499999667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0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0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0"/>
      <c r="S76" s="458">
        <v>45.250000000000114</v>
      </c>
      <c r="T76" s="50">
        <v>93.949999999999932</v>
      </c>
      <c r="U76" s="508">
        <v>182.5499999999999</v>
      </c>
      <c r="V76" s="50">
        <f>'Punten per wedstrijd'!F75</f>
        <v>105.60000000000036</v>
      </c>
      <c r="W76" s="470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0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70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0"/>
      <c r="AM76" s="458">
        <v>89.425000000000296</v>
      </c>
      <c r="AN76" s="458">
        <v>168.34999999999968</v>
      </c>
      <c r="AO76" s="458">
        <v>282.63750000000164</v>
      </c>
      <c r="AP76" s="50">
        <v>549.69999999999982</v>
      </c>
      <c r="AQ76" s="470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70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70"/>
      <c r="BB76" s="50">
        <v>0</v>
      </c>
      <c r="BC76" s="50">
        <v>146.59999999999945</v>
      </c>
      <c r="BD76" s="50">
        <v>181.72500000000082</v>
      </c>
      <c r="BE76" s="50">
        <v>419</v>
      </c>
      <c r="BF76" s="470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70"/>
      <c r="BL76" s="50">
        <v>0</v>
      </c>
      <c r="BM76" s="50">
        <v>82.699999999999363</v>
      </c>
      <c r="BN76" s="50">
        <v>162.56250000000068</v>
      </c>
      <c r="BO76" s="518">
        <v>204.29999999999998</v>
      </c>
      <c r="BP76" s="470"/>
      <c r="BQ76" s="50">
        <v>1.3749999999990905</v>
      </c>
      <c r="BR76" s="50">
        <v>166.84999999999991</v>
      </c>
      <c r="BS76" s="50">
        <v>211.61250000000109</v>
      </c>
      <c r="BT76" s="518">
        <v>505.69999999999891</v>
      </c>
      <c r="BU76" s="470"/>
      <c r="BV76" s="50">
        <v>0</v>
      </c>
      <c r="BW76" s="50">
        <v>0</v>
      </c>
      <c r="BX76" s="50">
        <v>571.12499999999864</v>
      </c>
      <c r="BY76" s="50">
        <v>820.90000000000236</v>
      </c>
      <c r="BZ76" s="470"/>
      <c r="CA76" s="50">
        <v>0</v>
      </c>
      <c r="CB76" s="50">
        <v>0</v>
      </c>
      <c r="CC76" s="50">
        <v>136.19999999999618</v>
      </c>
      <c r="CD76" s="50">
        <v>140</v>
      </c>
      <c r="CE76" s="470"/>
      <c r="CF76" s="50">
        <v>0</v>
      </c>
      <c r="CG76" s="50">
        <v>0</v>
      </c>
      <c r="CH76" s="50">
        <v>316.94999999999959</v>
      </c>
      <c r="CI76" s="50">
        <v>164.60000000000127</v>
      </c>
      <c r="CJ76" s="470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0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0"/>
      <c r="CU76" s="50">
        <v>0</v>
      </c>
      <c r="CV76" s="50">
        <v>0</v>
      </c>
      <c r="CW76" s="50">
        <v>226.72499999999945</v>
      </c>
      <c r="CX76" s="50">
        <v>201.79999999999745</v>
      </c>
      <c r="CY76" s="470"/>
      <c r="CZ76" s="50">
        <v>0</v>
      </c>
      <c r="DA76" s="50">
        <v>0</v>
      </c>
      <c r="DB76" s="50">
        <v>63.374999999991815</v>
      </c>
      <c r="DC76" s="50">
        <v>51.199999999993452</v>
      </c>
      <c r="DD76" s="470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0"/>
      <c r="DJ76" s="50">
        <v>0</v>
      </c>
      <c r="DK76" s="50">
        <v>0</v>
      </c>
      <c r="DL76" s="50">
        <v>0</v>
      </c>
      <c r="DM76" s="50">
        <v>0</v>
      </c>
      <c r="DN76" s="470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0"/>
      <c r="DT76" s="50">
        <v>0</v>
      </c>
      <c r="DU76" s="50">
        <v>0</v>
      </c>
      <c r="DV76" s="50">
        <v>246.07499999999754</v>
      </c>
      <c r="DW76" s="50">
        <v>440.70000000000255</v>
      </c>
      <c r="DX76" s="470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0"/>
      <c r="ED76" s="50">
        <v>0</v>
      </c>
      <c r="EE76" s="50">
        <v>0</v>
      </c>
      <c r="EF76" s="50">
        <v>0</v>
      </c>
      <c r="EG76" s="50">
        <v>0</v>
      </c>
      <c r="EH76" s="470"/>
      <c r="EI76" s="50">
        <v>0</v>
      </c>
      <c r="EJ76" s="50">
        <v>0</v>
      </c>
      <c r="EK76" s="50">
        <v>215.62499999999181</v>
      </c>
      <c r="EL76" s="50">
        <v>224.3999999999869</v>
      </c>
      <c r="EM76" s="470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0"/>
      <c r="ES76" s="50">
        <v>0</v>
      </c>
      <c r="ET76" s="50">
        <v>75.599999999998545</v>
      </c>
      <c r="EU76" s="50">
        <v>255.59999999999945</v>
      </c>
      <c r="EV76" s="50">
        <v>0</v>
      </c>
      <c r="EW76" s="470"/>
      <c r="EX76" s="50">
        <v>0</v>
      </c>
      <c r="EY76" s="50">
        <v>0</v>
      </c>
      <c r="EZ76" s="50">
        <v>0</v>
      </c>
      <c r="FA76" s="50">
        <v>374.39999999999054</v>
      </c>
      <c r="FB76" s="470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0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0"/>
      <c r="FM76" s="50">
        <v>0</v>
      </c>
      <c r="FN76" s="50">
        <v>0</v>
      </c>
      <c r="FO76" s="50">
        <v>0</v>
      </c>
      <c r="FP76" s="50">
        <v>245.79999999998836</v>
      </c>
      <c r="FQ76" s="470"/>
      <c r="FR76" s="50">
        <v>0</v>
      </c>
      <c r="FS76" s="50">
        <v>0</v>
      </c>
      <c r="FT76" s="50">
        <v>0</v>
      </c>
      <c r="FU76" s="50">
        <v>462.299999999992</v>
      </c>
      <c r="FV76" s="470"/>
      <c r="FW76" s="50">
        <v>0</v>
      </c>
      <c r="FX76" s="50">
        <v>0</v>
      </c>
      <c r="FY76" s="50">
        <v>0</v>
      </c>
      <c r="FZ76" s="50">
        <v>0</v>
      </c>
      <c r="GA76" s="470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0"/>
      <c r="GG76" s="50">
        <v>0</v>
      </c>
      <c r="GH76" s="50">
        <v>0</v>
      </c>
      <c r="GI76" s="50">
        <v>0</v>
      </c>
      <c r="GJ76" s="50">
        <v>0</v>
      </c>
      <c r="GK76" s="470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0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0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3405</v>
      </c>
      <c r="B77" s="46">
        <f t="shared" si="2"/>
        <v>6486.6000000000031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0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0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0"/>
      <c r="S77" s="458">
        <v>0</v>
      </c>
      <c r="T77" s="50">
        <v>0</v>
      </c>
      <c r="U77" s="508">
        <v>0</v>
      </c>
      <c r="V77" s="50">
        <f>'Punten per wedstrijd'!F76</f>
        <v>471.19999999999936</v>
      </c>
      <c r="W77" s="470"/>
      <c r="X77" s="50">
        <v>0</v>
      </c>
      <c r="Y77" s="50">
        <v>0</v>
      </c>
      <c r="Z77" s="50">
        <v>0</v>
      </c>
      <c r="AA77" s="50">
        <v>314.59999999999945</v>
      </c>
      <c r="AB77" s="470"/>
      <c r="AC77" s="50">
        <v>0</v>
      </c>
      <c r="AD77" s="50">
        <v>0</v>
      </c>
      <c r="AE77" s="50">
        <v>0</v>
      </c>
      <c r="AF77" s="50">
        <v>570.19999999999982</v>
      </c>
      <c r="AG77" s="470"/>
      <c r="AH77" s="50">
        <v>0</v>
      </c>
      <c r="AI77" s="50">
        <v>0</v>
      </c>
      <c r="AJ77" s="50">
        <v>0</v>
      </c>
      <c r="AK77" s="50">
        <v>608.099999999999</v>
      </c>
      <c r="AL77" s="470"/>
      <c r="AM77" s="458">
        <v>0</v>
      </c>
      <c r="AN77" s="458">
        <v>0</v>
      </c>
      <c r="AO77" s="458">
        <v>0</v>
      </c>
      <c r="AP77" s="50">
        <v>671.09999999999991</v>
      </c>
      <c r="AQ77" s="470"/>
      <c r="AR77" s="50">
        <v>0</v>
      </c>
      <c r="AS77" s="50">
        <v>0</v>
      </c>
      <c r="AT77" s="50">
        <v>0</v>
      </c>
      <c r="AU77" s="50">
        <v>297.60000000000002</v>
      </c>
      <c r="AV77" s="470"/>
      <c r="AW77" s="50">
        <v>0</v>
      </c>
      <c r="AX77" s="50">
        <v>0</v>
      </c>
      <c r="AY77" s="50">
        <v>0</v>
      </c>
      <c r="AZ77" s="50">
        <v>902.80000000000291</v>
      </c>
      <c r="BA77" s="470"/>
      <c r="BB77" s="50">
        <v>0</v>
      </c>
      <c r="BC77" s="50">
        <v>0</v>
      </c>
      <c r="BD77" s="50">
        <v>0</v>
      </c>
      <c r="BE77" s="50">
        <v>479.20000000000005</v>
      </c>
      <c r="BF77" s="470"/>
      <c r="BG77" s="50">
        <v>0</v>
      </c>
      <c r="BH77" s="50">
        <v>0</v>
      </c>
      <c r="BI77" s="50">
        <v>0</v>
      </c>
      <c r="BJ77" s="50">
        <v>345.3</v>
      </c>
      <c r="BK77" s="470"/>
      <c r="BL77" s="50">
        <v>0</v>
      </c>
      <c r="BM77" s="50">
        <v>0</v>
      </c>
      <c r="BN77" s="50">
        <v>0</v>
      </c>
      <c r="BO77" s="518">
        <v>440.8</v>
      </c>
      <c r="BP77" s="470"/>
      <c r="BQ77" s="50">
        <v>0</v>
      </c>
      <c r="BR77" s="50">
        <v>0</v>
      </c>
      <c r="BS77" s="50">
        <v>0</v>
      </c>
      <c r="BT77" s="518">
        <v>556.30000000000291</v>
      </c>
      <c r="BU77" s="470"/>
      <c r="BV77" s="50"/>
      <c r="BW77" s="50"/>
      <c r="BX77" s="50"/>
      <c r="BY77" s="50"/>
      <c r="BZ77" s="470"/>
      <c r="CA77" s="50"/>
      <c r="CB77" s="50"/>
      <c r="CC77" s="50"/>
      <c r="CD77" s="50"/>
      <c r="CE77" s="470"/>
      <c r="CF77" s="50"/>
      <c r="CG77" s="50"/>
      <c r="CH77" s="50"/>
      <c r="CI77" s="50"/>
      <c r="CJ77" s="470"/>
      <c r="CK77" s="50"/>
      <c r="CL77" s="50"/>
      <c r="CM77" s="50"/>
      <c r="CN77" s="50"/>
      <c r="CO77" s="470"/>
      <c r="CP77" s="50"/>
      <c r="CQ77" s="50"/>
      <c r="CR77" s="50"/>
      <c r="CS77" s="50"/>
      <c r="CT77" s="470"/>
      <c r="CU77" s="50"/>
      <c r="CV77" s="50"/>
      <c r="CW77" s="50"/>
      <c r="CX77" s="50"/>
      <c r="CY77" s="470"/>
      <c r="CZ77" s="50"/>
      <c r="DA77" s="50"/>
      <c r="DB77" s="50"/>
      <c r="DC77" s="50"/>
      <c r="DD77" s="470"/>
      <c r="DE77" s="50"/>
      <c r="DF77" s="50"/>
      <c r="DG77" s="50"/>
      <c r="DH77" s="50"/>
      <c r="DI77" s="470"/>
      <c r="DJ77" s="50"/>
      <c r="DK77" s="50"/>
      <c r="DL77" s="50"/>
      <c r="DM77" s="50"/>
      <c r="DN77" s="470"/>
      <c r="DO77" s="50"/>
      <c r="DP77" s="50"/>
      <c r="DQ77" s="50"/>
      <c r="DR77" s="50"/>
      <c r="DS77" s="470"/>
      <c r="DT77" s="50"/>
      <c r="DU77" s="50"/>
      <c r="DV77" s="50"/>
      <c r="DW77" s="50"/>
      <c r="DX77" s="470"/>
      <c r="DY77" s="50"/>
      <c r="DZ77" s="50"/>
      <c r="EA77" s="50"/>
      <c r="EB77" s="50"/>
      <c r="EC77" s="470"/>
      <c r="ED77" s="50"/>
      <c r="EE77" s="50"/>
      <c r="EF77" s="50"/>
      <c r="EG77" s="50"/>
      <c r="EH77" s="470"/>
      <c r="EI77" s="50"/>
      <c r="EJ77" s="50"/>
      <c r="EK77" s="50"/>
      <c r="EL77" s="50"/>
      <c r="EM77" s="470"/>
      <c r="EN77" s="50"/>
      <c r="EO77" s="50"/>
      <c r="EP77" s="50"/>
      <c r="EQ77" s="50"/>
      <c r="ER77" s="470"/>
      <c r="ES77" s="50"/>
      <c r="ET77" s="50"/>
      <c r="EU77" s="50"/>
      <c r="EV77" s="50"/>
      <c r="EW77" s="470"/>
      <c r="EX77" s="50"/>
      <c r="EY77" s="50"/>
      <c r="EZ77" s="50"/>
      <c r="FA77" s="50"/>
      <c r="FB77" s="470"/>
      <c r="FC77" s="50"/>
      <c r="FD77" s="50"/>
      <c r="FE77" s="50"/>
      <c r="FF77" s="50"/>
      <c r="FG77" s="470"/>
      <c r="FH77" s="50"/>
      <c r="FI77" s="50"/>
      <c r="FJ77" s="50"/>
      <c r="FK77" s="50"/>
      <c r="FL77" s="470"/>
      <c r="FM77" s="50"/>
      <c r="FN77" s="50"/>
      <c r="FO77" s="50"/>
      <c r="FP77" s="50"/>
      <c r="FQ77" s="470"/>
      <c r="FR77" s="50"/>
      <c r="FS77" s="50"/>
      <c r="FT77" s="50"/>
      <c r="FU77" s="50"/>
      <c r="FV77" s="470"/>
      <c r="FW77" s="50"/>
      <c r="FX77" s="50"/>
      <c r="FY77" s="50"/>
      <c r="FZ77" s="50"/>
      <c r="GA77" s="470"/>
      <c r="GB77" s="50"/>
      <c r="GC77" s="50"/>
      <c r="GD77" s="50"/>
      <c r="GE77" s="50"/>
      <c r="GF77" s="470"/>
      <c r="GG77" s="50"/>
      <c r="GH77" s="50"/>
      <c r="GI77" s="50"/>
      <c r="GJ77" s="50"/>
      <c r="GK77" s="470"/>
      <c r="GL77" s="50"/>
      <c r="GM77" s="50"/>
      <c r="GN77" s="50"/>
      <c r="GO77" s="50"/>
      <c r="GP77" s="470"/>
      <c r="GQ77" s="50"/>
      <c r="GR77" s="50"/>
      <c r="GS77" s="50"/>
      <c r="GT77" s="50"/>
      <c r="GU77" s="470"/>
      <c r="HA77" s="464"/>
      <c r="HJ77" s="464"/>
      <c r="HS77" s="464"/>
      <c r="IB77" s="464"/>
      <c r="IK77" s="464"/>
      <c r="IT77" s="464"/>
      <c r="JC77" s="464"/>
      <c r="JL77" s="464"/>
      <c r="JU77" s="464"/>
      <c r="KD77" s="464"/>
      <c r="KM77" s="464"/>
      <c r="KV77" s="464"/>
      <c r="LE77" s="464"/>
      <c r="MF77" s="464"/>
      <c r="MO77" s="464"/>
      <c r="MX77" s="464"/>
      <c r="NG77" s="464"/>
      <c r="NP77" s="464"/>
      <c r="NY77" s="464"/>
      <c r="OE77" s="37"/>
    </row>
    <row r="78" spans="1:396" ht="18">
      <c r="A78" s="41" t="s">
        <v>779</v>
      </c>
      <c r="B78" s="46">
        <f t="shared" si="2"/>
        <v>58002.537500000108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0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0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0"/>
      <c r="S78" s="458">
        <v>56.499999999999886</v>
      </c>
      <c r="T78" s="50">
        <v>71.000000000000114</v>
      </c>
      <c r="U78" s="508">
        <v>207.375</v>
      </c>
      <c r="V78" s="50">
        <f>'Punten per wedstrijd'!F77</f>
        <v>163</v>
      </c>
      <c r="W78" s="470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0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70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0"/>
      <c r="AM78" s="458">
        <v>154.15000000000055</v>
      </c>
      <c r="AN78" s="458">
        <v>187.40000000000009</v>
      </c>
      <c r="AO78" s="458">
        <v>203.3999999999985</v>
      </c>
      <c r="AP78" s="50">
        <v>376.39999999999964</v>
      </c>
      <c r="AQ78" s="470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70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70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70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70"/>
      <c r="BL78" s="50">
        <v>0</v>
      </c>
      <c r="BM78" s="50">
        <v>11.600000000000364</v>
      </c>
      <c r="BN78" s="50">
        <v>149.02499999999918</v>
      </c>
      <c r="BO78" s="518">
        <v>102</v>
      </c>
      <c r="BP78" s="470"/>
      <c r="BQ78" s="50">
        <v>44.325000000001637</v>
      </c>
      <c r="BR78" s="50">
        <v>161.00000000000045</v>
      </c>
      <c r="BS78" s="50">
        <v>107.99999999999932</v>
      </c>
      <c r="BT78" s="518">
        <v>376</v>
      </c>
      <c r="BU78" s="470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0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0"/>
      <c r="CF78" s="50">
        <v>113.375</v>
      </c>
      <c r="CG78" s="50">
        <v>0</v>
      </c>
      <c r="CH78" s="50">
        <v>379.875</v>
      </c>
      <c r="CI78" s="50">
        <v>95.999999999999091</v>
      </c>
      <c r="CJ78" s="470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0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0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0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0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0"/>
      <c r="DJ78" s="50">
        <v>157.849999999999</v>
      </c>
      <c r="DK78" s="50">
        <v>0</v>
      </c>
      <c r="DL78" s="50">
        <v>0</v>
      </c>
      <c r="DM78" s="50">
        <v>0</v>
      </c>
      <c r="DN78" s="470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0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0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0"/>
      <c r="ED78" s="50">
        <v>32.499999999999091</v>
      </c>
      <c r="EE78" s="50">
        <v>0</v>
      </c>
      <c r="EF78" s="50">
        <v>0</v>
      </c>
      <c r="EG78" s="50">
        <v>0</v>
      </c>
      <c r="EH78" s="470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0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0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0"/>
      <c r="EX78" s="50">
        <v>50.625000000000909</v>
      </c>
      <c r="EY78" s="50">
        <v>0</v>
      </c>
      <c r="EZ78" s="50">
        <v>0</v>
      </c>
      <c r="FA78" s="50">
        <v>267.700000000008</v>
      </c>
      <c r="FB78" s="470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0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0"/>
      <c r="FM78" s="50">
        <v>86</v>
      </c>
      <c r="FN78" s="50">
        <v>0</v>
      </c>
      <c r="FO78" s="50">
        <v>0</v>
      </c>
      <c r="FP78" s="50">
        <v>227.39999999999782</v>
      </c>
      <c r="FQ78" s="470"/>
      <c r="FR78" s="50">
        <v>21.300000000000182</v>
      </c>
      <c r="FS78" s="50">
        <v>0</v>
      </c>
      <c r="FT78" s="50">
        <v>0</v>
      </c>
      <c r="FU78" s="50">
        <v>520</v>
      </c>
      <c r="FV78" s="470"/>
      <c r="FW78" s="50">
        <v>53.350000000000136</v>
      </c>
      <c r="FX78" s="50">
        <v>0</v>
      </c>
      <c r="FY78" s="50">
        <v>0</v>
      </c>
      <c r="FZ78" s="50">
        <v>0</v>
      </c>
      <c r="GA78" s="470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0"/>
      <c r="GG78" s="50">
        <v>106.82500000000073</v>
      </c>
      <c r="GH78" s="50">
        <v>0</v>
      </c>
      <c r="GI78" s="50">
        <v>0</v>
      </c>
      <c r="GJ78" s="50">
        <v>0</v>
      </c>
      <c r="GK78" s="470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0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0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2054</v>
      </c>
      <c r="B79" s="46">
        <f t="shared" si="2"/>
        <v>21260.449999999986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0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0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0"/>
      <c r="S79" s="458">
        <v>0</v>
      </c>
      <c r="T79" s="50">
        <v>0</v>
      </c>
      <c r="U79" s="508">
        <v>132</v>
      </c>
      <c r="V79" s="50">
        <f>'Punten per wedstrijd'!F78</f>
        <v>259.69999999999959</v>
      </c>
      <c r="W79" s="470"/>
      <c r="X79" s="50">
        <v>0</v>
      </c>
      <c r="Y79" s="50">
        <v>0</v>
      </c>
      <c r="Z79" s="50">
        <v>388.34999999999877</v>
      </c>
      <c r="AA79" s="50">
        <v>375.59999999999945</v>
      </c>
      <c r="AB79" s="470"/>
      <c r="AC79" s="50">
        <v>0</v>
      </c>
      <c r="AD79" s="50">
        <v>0</v>
      </c>
      <c r="AE79" s="50">
        <v>377.69999999999925</v>
      </c>
      <c r="AF79" s="50">
        <v>702.19999999999891</v>
      </c>
      <c r="AG79" s="470"/>
      <c r="AH79" s="50">
        <v>0</v>
      </c>
      <c r="AI79" s="50">
        <v>0</v>
      </c>
      <c r="AJ79" s="50">
        <v>454.57499999999891</v>
      </c>
      <c r="AK79" s="50">
        <v>200.49999999999909</v>
      </c>
      <c r="AL79" s="470"/>
      <c r="AM79" s="458">
        <v>0</v>
      </c>
      <c r="AN79" s="458">
        <v>0</v>
      </c>
      <c r="AO79" s="458">
        <v>104.47499999999877</v>
      </c>
      <c r="AP79" s="50">
        <v>529.49999999999909</v>
      </c>
      <c r="AQ79" s="470"/>
      <c r="AR79" s="50">
        <v>0</v>
      </c>
      <c r="AS79" s="50">
        <v>0</v>
      </c>
      <c r="AT79" s="50">
        <v>204.74999999999829</v>
      </c>
      <c r="AU79" s="50">
        <v>54.300000000000004</v>
      </c>
      <c r="AV79" s="470"/>
      <c r="AW79" s="50">
        <v>0</v>
      </c>
      <c r="AX79" s="50">
        <v>0</v>
      </c>
      <c r="AY79" s="50">
        <v>358.79999999999905</v>
      </c>
      <c r="AZ79" s="50">
        <v>241.30000000000018</v>
      </c>
      <c r="BA79" s="470"/>
      <c r="BB79" s="50">
        <v>0</v>
      </c>
      <c r="BC79" s="50">
        <v>0</v>
      </c>
      <c r="BD79" s="50">
        <v>195.29999999999905</v>
      </c>
      <c r="BE79" s="50">
        <v>605.49999999999989</v>
      </c>
      <c r="BF79" s="470"/>
      <c r="BG79" s="50">
        <v>0</v>
      </c>
      <c r="BH79" s="50">
        <v>0</v>
      </c>
      <c r="BI79" s="50">
        <v>120.89999999999918</v>
      </c>
      <c r="BJ79" s="50">
        <v>145.19999999999999</v>
      </c>
      <c r="BK79" s="470"/>
      <c r="BL79" s="50">
        <v>0</v>
      </c>
      <c r="BM79" s="50">
        <v>0</v>
      </c>
      <c r="BN79" s="50">
        <v>86.249999999999318</v>
      </c>
      <c r="BO79" s="518">
        <v>137.4</v>
      </c>
      <c r="BP79" s="470"/>
      <c r="BQ79" s="50">
        <v>0</v>
      </c>
      <c r="BR79" s="50">
        <v>0</v>
      </c>
      <c r="BS79" s="50">
        <v>189.59999999999877</v>
      </c>
      <c r="BT79" s="518">
        <v>535.30000000000018</v>
      </c>
      <c r="BU79" s="470"/>
      <c r="BV79" s="50">
        <v>0</v>
      </c>
      <c r="BW79" s="50">
        <v>0</v>
      </c>
      <c r="BX79" s="50">
        <v>0</v>
      </c>
      <c r="BY79" s="50">
        <v>528.49999999999909</v>
      </c>
      <c r="BZ79" s="470"/>
      <c r="CA79" s="50">
        <v>0</v>
      </c>
      <c r="CB79" s="50">
        <v>0</v>
      </c>
      <c r="CC79" s="50">
        <v>0</v>
      </c>
      <c r="CD79" s="50">
        <v>102.00000000000182</v>
      </c>
      <c r="CE79" s="470"/>
      <c r="CF79" s="50">
        <v>0</v>
      </c>
      <c r="CG79" s="50">
        <v>0</v>
      </c>
      <c r="CH79" s="50">
        <v>0</v>
      </c>
      <c r="CI79" s="50">
        <v>97.999999999998181</v>
      </c>
      <c r="CJ79" s="470"/>
      <c r="CK79" s="50">
        <v>0</v>
      </c>
      <c r="CL79" s="50">
        <v>0</v>
      </c>
      <c r="CM79" s="50">
        <v>0</v>
      </c>
      <c r="CN79" s="50">
        <v>288.50000000000091</v>
      </c>
      <c r="CO79" s="470"/>
      <c r="CP79" s="50">
        <v>0</v>
      </c>
      <c r="CQ79" s="50">
        <v>0</v>
      </c>
      <c r="CR79" s="50">
        <v>0</v>
      </c>
      <c r="CS79" s="50">
        <v>274.29999999999927</v>
      </c>
      <c r="CT79" s="470"/>
      <c r="CU79" s="50">
        <v>0</v>
      </c>
      <c r="CV79" s="50">
        <v>0</v>
      </c>
      <c r="CW79" s="50">
        <v>0</v>
      </c>
      <c r="CX79" s="50">
        <v>365.70000000000073</v>
      </c>
      <c r="CY79" s="470"/>
      <c r="CZ79" s="50">
        <v>0</v>
      </c>
      <c r="DA79" s="50">
        <v>0</v>
      </c>
      <c r="DB79" s="50">
        <v>0</v>
      </c>
      <c r="DC79" s="50">
        <v>307.50000000000091</v>
      </c>
      <c r="DD79" s="470"/>
      <c r="DE79" s="50">
        <v>0</v>
      </c>
      <c r="DF79" s="50">
        <v>0</v>
      </c>
      <c r="DG79" s="50">
        <v>0</v>
      </c>
      <c r="DH79" s="50">
        <v>2671.6999999999989</v>
      </c>
      <c r="DI79" s="470"/>
      <c r="DJ79" s="50">
        <v>0</v>
      </c>
      <c r="DK79" s="50">
        <v>0</v>
      </c>
      <c r="DL79" s="50">
        <v>0</v>
      </c>
      <c r="DM79" s="50">
        <v>0</v>
      </c>
      <c r="DN79" s="470"/>
      <c r="DO79" s="50">
        <v>0</v>
      </c>
      <c r="DP79" s="50">
        <v>0</v>
      </c>
      <c r="DQ79" s="50">
        <v>0</v>
      </c>
      <c r="DR79" s="50">
        <v>204.69999999999891</v>
      </c>
      <c r="DS79" s="470"/>
      <c r="DT79" s="50">
        <v>0</v>
      </c>
      <c r="DU79" s="50">
        <v>0</v>
      </c>
      <c r="DV79" s="50">
        <v>0</v>
      </c>
      <c r="DW79" s="50">
        <v>438</v>
      </c>
      <c r="DX79" s="470"/>
      <c r="DY79" s="50">
        <v>0</v>
      </c>
      <c r="DZ79" s="50">
        <v>0</v>
      </c>
      <c r="EA79" s="50">
        <v>0</v>
      </c>
      <c r="EB79" s="50">
        <v>2856.4999999999836</v>
      </c>
      <c r="EC79" s="470"/>
      <c r="ED79" s="50">
        <v>0</v>
      </c>
      <c r="EE79" s="50">
        <v>0</v>
      </c>
      <c r="EF79" s="50">
        <v>0</v>
      </c>
      <c r="EG79" s="50">
        <v>0</v>
      </c>
      <c r="EH79" s="470"/>
      <c r="EI79" s="50">
        <v>0</v>
      </c>
      <c r="EJ79" s="50">
        <v>0</v>
      </c>
      <c r="EK79" s="50">
        <v>0</v>
      </c>
      <c r="EL79" s="50">
        <v>244.00000000000182</v>
      </c>
      <c r="EM79" s="470"/>
      <c r="EN79" s="50"/>
      <c r="EO79" s="50"/>
      <c r="EP79" s="50"/>
      <c r="EQ79" s="50">
        <v>247</v>
      </c>
      <c r="ER79" s="470"/>
      <c r="ES79" s="50">
        <v>0</v>
      </c>
      <c r="ET79" s="50">
        <v>0</v>
      </c>
      <c r="EU79" s="50">
        <v>0</v>
      </c>
      <c r="EV79" s="50">
        <v>0</v>
      </c>
      <c r="EW79" s="470"/>
      <c r="EX79" s="50">
        <v>0</v>
      </c>
      <c r="EY79" s="50">
        <v>0</v>
      </c>
      <c r="EZ79" s="50">
        <v>0</v>
      </c>
      <c r="FA79" s="50">
        <v>91</v>
      </c>
      <c r="FB79" s="470"/>
      <c r="FC79" s="50">
        <v>0</v>
      </c>
      <c r="FD79" s="50">
        <v>0</v>
      </c>
      <c r="FE79" s="50">
        <v>0</v>
      </c>
      <c r="FF79" s="50">
        <v>2112.3000000000002</v>
      </c>
      <c r="FG79" s="470"/>
      <c r="FH79" s="50">
        <v>0</v>
      </c>
      <c r="FI79" s="50">
        <v>0</v>
      </c>
      <c r="FJ79" s="50">
        <v>0</v>
      </c>
      <c r="FK79" s="50">
        <v>115.79999999999927</v>
      </c>
      <c r="FL79" s="470"/>
      <c r="FM79" s="50">
        <v>0</v>
      </c>
      <c r="FN79" s="50">
        <v>0</v>
      </c>
      <c r="FO79" s="50">
        <v>0</v>
      </c>
      <c r="FP79" s="50">
        <v>126.20000000000073</v>
      </c>
      <c r="FQ79" s="470"/>
      <c r="FR79" s="50">
        <v>0</v>
      </c>
      <c r="FS79" s="50">
        <v>0</v>
      </c>
      <c r="FT79" s="50">
        <v>0</v>
      </c>
      <c r="FU79" s="50">
        <v>668.70000000000073</v>
      </c>
      <c r="FV79" s="470"/>
      <c r="FW79" s="50">
        <v>0</v>
      </c>
      <c r="FX79" s="50">
        <v>0</v>
      </c>
      <c r="FY79" s="50">
        <v>0</v>
      </c>
      <c r="FZ79" s="50">
        <v>0</v>
      </c>
      <c r="GA79" s="470"/>
      <c r="GB79" s="50">
        <v>0</v>
      </c>
      <c r="GC79" s="50">
        <v>0</v>
      </c>
      <c r="GD79" s="50">
        <v>0</v>
      </c>
      <c r="GE79" s="50">
        <v>318.00000000000364</v>
      </c>
      <c r="GF79" s="470"/>
      <c r="GG79" s="50">
        <v>0</v>
      </c>
      <c r="GH79" s="50">
        <v>0</v>
      </c>
      <c r="GI79" s="50">
        <v>0</v>
      </c>
      <c r="GJ79" s="50">
        <v>0</v>
      </c>
      <c r="GK79" s="470"/>
      <c r="GL79" s="50">
        <v>0</v>
      </c>
      <c r="GM79" s="50">
        <v>0</v>
      </c>
      <c r="GN79" s="50">
        <v>0</v>
      </c>
      <c r="GO79" s="50">
        <v>1042.0000000000146</v>
      </c>
      <c r="GP79" s="470"/>
      <c r="GQ79" s="50">
        <v>0</v>
      </c>
      <c r="GR79" s="50">
        <v>0</v>
      </c>
      <c r="GS79" s="50">
        <v>0</v>
      </c>
      <c r="GT79" s="50">
        <v>278</v>
      </c>
      <c r="GU79" s="470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55558.76249999999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0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0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0"/>
      <c r="S80" s="458">
        <v>31.625</v>
      </c>
      <c r="T80" s="50">
        <v>22.950000000000045</v>
      </c>
      <c r="U80" s="508">
        <v>159.82499999999976</v>
      </c>
      <c r="V80" s="50">
        <f>'Punten per wedstrijd'!F79</f>
        <v>193.19999999999982</v>
      </c>
      <c r="W80" s="470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0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70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0"/>
      <c r="AM80" s="458">
        <v>95.874999999999886</v>
      </c>
      <c r="AN80" s="458">
        <v>206.75</v>
      </c>
      <c r="AO80" s="458">
        <v>216.07499999999959</v>
      </c>
      <c r="AP80" s="50">
        <v>451.5</v>
      </c>
      <c r="AQ80" s="470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70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70"/>
      <c r="BB80" s="50">
        <v>0</v>
      </c>
      <c r="BC80" s="50">
        <v>66.999999999999545</v>
      </c>
      <c r="BD80" s="50">
        <v>289.875</v>
      </c>
      <c r="BE80" s="50">
        <v>345.1</v>
      </c>
      <c r="BF80" s="470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70"/>
      <c r="BL80" s="50">
        <v>0</v>
      </c>
      <c r="BM80" s="50">
        <v>6.4999999999995453</v>
      </c>
      <c r="BN80" s="50">
        <v>203.24999999999932</v>
      </c>
      <c r="BO80" s="518">
        <v>174.7</v>
      </c>
      <c r="BP80" s="470"/>
      <c r="BQ80" s="50">
        <v>63.775000000000546</v>
      </c>
      <c r="BR80" s="50">
        <v>92.849999999999909</v>
      </c>
      <c r="BS80" s="50">
        <v>174.07499999999959</v>
      </c>
      <c r="BT80" s="518">
        <v>265.5</v>
      </c>
      <c r="BU80" s="470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0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0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0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0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0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0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0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0"/>
      <c r="DJ80" s="50">
        <v>99.949999999999818</v>
      </c>
      <c r="DK80" s="50">
        <v>0</v>
      </c>
      <c r="DL80" s="50">
        <v>0</v>
      </c>
      <c r="DM80" s="50">
        <v>0</v>
      </c>
      <c r="DN80" s="470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0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0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0"/>
      <c r="ED80" s="50">
        <v>65.999999999999091</v>
      </c>
      <c r="EE80" s="50">
        <v>0</v>
      </c>
      <c r="EF80" s="50">
        <v>0</v>
      </c>
      <c r="EG80" s="50">
        <v>0</v>
      </c>
      <c r="EH80" s="470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0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0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0"/>
      <c r="EX80" s="50">
        <v>106.79999999999654</v>
      </c>
      <c r="EY80" s="50">
        <v>0</v>
      </c>
      <c r="EZ80" s="50">
        <v>0</v>
      </c>
      <c r="FA80" s="50">
        <v>255.60000000000582</v>
      </c>
      <c r="FB80" s="470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0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0"/>
      <c r="FM80" s="50">
        <v>53.624999999998181</v>
      </c>
      <c r="FN80" s="50">
        <v>0</v>
      </c>
      <c r="FO80" s="50">
        <v>0</v>
      </c>
      <c r="FP80" s="50">
        <v>218.50000000000728</v>
      </c>
      <c r="FQ80" s="470"/>
      <c r="FR80" s="50">
        <v>44.724999999997635</v>
      </c>
      <c r="FS80" s="50">
        <v>0</v>
      </c>
      <c r="FT80" s="50">
        <v>0</v>
      </c>
      <c r="FU80" s="50">
        <v>486.50000000000728</v>
      </c>
      <c r="FV80" s="470"/>
      <c r="FW80" s="50">
        <v>48.875</v>
      </c>
      <c r="FX80" s="50">
        <v>0</v>
      </c>
      <c r="FY80" s="50">
        <v>0</v>
      </c>
      <c r="FZ80" s="50">
        <v>0</v>
      </c>
      <c r="GA80" s="470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0"/>
      <c r="GG80" s="50">
        <v>120.72499999999854</v>
      </c>
      <c r="GH80" s="50">
        <v>0</v>
      </c>
      <c r="GI80" s="50">
        <v>0</v>
      </c>
      <c r="GJ80" s="50">
        <v>0</v>
      </c>
      <c r="GK80" s="470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0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0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54687.262500000179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0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0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0"/>
      <c r="S81" s="458">
        <v>27.5</v>
      </c>
      <c r="T81" s="50">
        <v>84.249999999999886</v>
      </c>
      <c r="U81" s="508">
        <v>118.72500000000031</v>
      </c>
      <c r="V81" s="50">
        <f>'Punten per wedstrijd'!F80</f>
        <v>65</v>
      </c>
      <c r="W81" s="470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0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70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0"/>
      <c r="AM81" s="458">
        <v>52.375</v>
      </c>
      <c r="AN81" s="458">
        <v>307.54999999999973</v>
      </c>
      <c r="AO81" s="458">
        <v>328.04999999999973</v>
      </c>
      <c r="AP81" s="50">
        <v>791.70000000000073</v>
      </c>
      <c r="AQ81" s="470"/>
      <c r="AR81" s="50">
        <v>0</v>
      </c>
      <c r="AS81" s="50">
        <v>172.75</v>
      </c>
      <c r="AT81" s="50">
        <v>286.79999999999905</v>
      </c>
      <c r="AU81" s="50">
        <v>386.8</v>
      </c>
      <c r="AV81" s="470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70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70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70"/>
      <c r="BL81" s="50">
        <v>0</v>
      </c>
      <c r="BM81" s="50">
        <v>3.0000000000004547</v>
      </c>
      <c r="BN81" s="50">
        <v>132.29999999999905</v>
      </c>
      <c r="BO81" s="518">
        <v>240.6</v>
      </c>
      <c r="BP81" s="470"/>
      <c r="BQ81" s="50">
        <v>0.52500000000009095</v>
      </c>
      <c r="BR81" s="50">
        <v>145.90000000000055</v>
      </c>
      <c r="BS81" s="50">
        <v>165.59999999999809</v>
      </c>
      <c r="BT81" s="518">
        <v>540.19999999999982</v>
      </c>
      <c r="BU81" s="470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0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0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0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0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0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0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0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0"/>
      <c r="DJ81" s="50">
        <v>88.912500000000364</v>
      </c>
      <c r="DK81" s="50">
        <v>0</v>
      </c>
      <c r="DL81" s="50">
        <v>0</v>
      </c>
      <c r="DM81" s="50">
        <v>0</v>
      </c>
      <c r="DN81" s="470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0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0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0"/>
      <c r="ED81" s="50">
        <v>9.5249999999987267</v>
      </c>
      <c r="EE81" s="50">
        <v>0</v>
      </c>
      <c r="EF81" s="50">
        <v>0</v>
      </c>
      <c r="EG81" s="50">
        <v>0</v>
      </c>
      <c r="EH81" s="470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0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0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0"/>
      <c r="EX81" s="50">
        <v>92.312499999999091</v>
      </c>
      <c r="EY81" s="50">
        <v>0</v>
      </c>
      <c r="EZ81" s="50">
        <v>0</v>
      </c>
      <c r="FA81" s="50">
        <v>299.5</v>
      </c>
      <c r="FB81" s="470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0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0"/>
      <c r="FM81" s="50">
        <v>63.574999999998909</v>
      </c>
      <c r="FN81" s="50">
        <v>0</v>
      </c>
      <c r="FO81" s="50">
        <v>0</v>
      </c>
      <c r="FP81" s="50">
        <v>332.30000000000291</v>
      </c>
      <c r="FQ81" s="470"/>
      <c r="FR81" s="50">
        <v>38.662499999999454</v>
      </c>
      <c r="FS81" s="50">
        <v>0</v>
      </c>
      <c r="FT81" s="50">
        <v>0</v>
      </c>
      <c r="FU81" s="50">
        <v>361.20000000000073</v>
      </c>
      <c r="FV81" s="470"/>
      <c r="FW81" s="50">
        <v>44.474999999999454</v>
      </c>
      <c r="FX81" s="50">
        <v>0</v>
      </c>
      <c r="FY81" s="50">
        <v>0</v>
      </c>
      <c r="FZ81" s="50">
        <v>0</v>
      </c>
      <c r="GA81" s="470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0"/>
      <c r="GG81" s="50">
        <v>139.70000000000255</v>
      </c>
      <c r="GH81" s="50">
        <v>0</v>
      </c>
      <c r="GI81" s="50">
        <v>0</v>
      </c>
      <c r="GJ81" s="50">
        <v>0</v>
      </c>
      <c r="GK81" s="470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0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0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2056</v>
      </c>
      <c r="B82" s="46">
        <f t="shared" si="2"/>
        <v>17662.962500000114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0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0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0"/>
      <c r="S82" s="458">
        <v>0</v>
      </c>
      <c r="T82" s="50">
        <v>0</v>
      </c>
      <c r="U82" s="508">
        <v>129.48750000000007</v>
      </c>
      <c r="V82" s="50">
        <f>'Punten per wedstrijd'!F81</f>
        <v>146.79999999999973</v>
      </c>
      <c r="W82" s="470"/>
      <c r="X82" s="50">
        <v>0</v>
      </c>
      <c r="Y82" s="50">
        <v>0</v>
      </c>
      <c r="Z82" s="50">
        <v>216.22500000000031</v>
      </c>
      <c r="AA82" s="50">
        <v>98.399999999999864</v>
      </c>
      <c r="AB82" s="470"/>
      <c r="AC82" s="50">
        <v>0</v>
      </c>
      <c r="AD82" s="50">
        <v>0</v>
      </c>
      <c r="AE82" s="50">
        <v>201.97500000000014</v>
      </c>
      <c r="AF82" s="50">
        <v>428.89999999999964</v>
      </c>
      <c r="AG82" s="470"/>
      <c r="AH82" s="50">
        <v>0</v>
      </c>
      <c r="AI82" s="50">
        <v>0</v>
      </c>
      <c r="AJ82" s="50">
        <v>366.15000000000038</v>
      </c>
      <c r="AK82" s="50">
        <v>523</v>
      </c>
      <c r="AL82" s="470"/>
      <c r="AM82" s="458">
        <v>0</v>
      </c>
      <c r="AN82" s="458">
        <v>0</v>
      </c>
      <c r="AO82" s="458">
        <v>29.250000000000341</v>
      </c>
      <c r="AP82" s="50">
        <v>346.70000000000073</v>
      </c>
      <c r="AQ82" s="470"/>
      <c r="AR82" s="50">
        <v>0</v>
      </c>
      <c r="AS82" s="50">
        <v>0</v>
      </c>
      <c r="AT82" s="50">
        <v>13.650000000000546</v>
      </c>
      <c r="AU82" s="50">
        <v>146.80000000000001</v>
      </c>
      <c r="AV82" s="470"/>
      <c r="AW82" s="50">
        <v>0</v>
      </c>
      <c r="AX82" s="50">
        <v>0</v>
      </c>
      <c r="AY82" s="50">
        <v>380.17500000000007</v>
      </c>
      <c r="AZ82" s="50">
        <v>542.80000000000155</v>
      </c>
      <c r="BA82" s="470"/>
      <c r="BB82" s="50">
        <v>0</v>
      </c>
      <c r="BC82" s="50">
        <v>0</v>
      </c>
      <c r="BD82" s="50">
        <v>241.87500000000034</v>
      </c>
      <c r="BE82" s="50">
        <v>490</v>
      </c>
      <c r="BF82" s="470"/>
      <c r="BG82" s="50">
        <v>0</v>
      </c>
      <c r="BH82" s="50">
        <v>0</v>
      </c>
      <c r="BI82" s="50">
        <v>97.350000000000477</v>
      </c>
      <c r="BJ82" s="50">
        <v>153.6</v>
      </c>
      <c r="BK82" s="470"/>
      <c r="BL82" s="50">
        <v>0</v>
      </c>
      <c r="BM82" s="50">
        <v>0</v>
      </c>
      <c r="BN82" s="50">
        <v>234.375</v>
      </c>
      <c r="BO82" s="518">
        <v>119.5</v>
      </c>
      <c r="BP82" s="470"/>
      <c r="BQ82" s="50">
        <v>0</v>
      </c>
      <c r="BR82" s="50">
        <v>0</v>
      </c>
      <c r="BS82" s="50">
        <v>184.05000000000007</v>
      </c>
      <c r="BT82" s="518">
        <v>321.90000000000236</v>
      </c>
      <c r="BU82" s="470"/>
      <c r="BV82" s="50">
        <v>0</v>
      </c>
      <c r="BW82" s="50">
        <v>0</v>
      </c>
      <c r="BX82" s="50">
        <v>0</v>
      </c>
      <c r="BY82" s="50">
        <v>430.09999999999945</v>
      </c>
      <c r="BZ82" s="470"/>
      <c r="CA82" s="50">
        <v>0</v>
      </c>
      <c r="CB82" s="50">
        <v>0</v>
      </c>
      <c r="CC82" s="50">
        <v>0</v>
      </c>
      <c r="CD82" s="50">
        <v>93.499999999999091</v>
      </c>
      <c r="CE82" s="470"/>
      <c r="CF82" s="50">
        <v>0</v>
      </c>
      <c r="CG82" s="50">
        <v>0</v>
      </c>
      <c r="CH82" s="50">
        <v>0</v>
      </c>
      <c r="CI82" s="50">
        <v>438.5</v>
      </c>
      <c r="CJ82" s="470"/>
      <c r="CK82" s="50">
        <v>0</v>
      </c>
      <c r="CL82" s="50">
        <v>0</v>
      </c>
      <c r="CM82" s="50">
        <v>0</v>
      </c>
      <c r="CN82" s="50">
        <v>334.59999999999854</v>
      </c>
      <c r="CO82" s="470"/>
      <c r="CP82" s="50">
        <v>0</v>
      </c>
      <c r="CQ82" s="50">
        <v>0</v>
      </c>
      <c r="CR82" s="50">
        <v>0</v>
      </c>
      <c r="CS82" s="50">
        <v>239.699999999998</v>
      </c>
      <c r="CT82" s="470"/>
      <c r="CU82" s="50">
        <v>0</v>
      </c>
      <c r="CV82" s="50">
        <v>0</v>
      </c>
      <c r="CW82" s="50">
        <v>0</v>
      </c>
      <c r="CX82" s="50">
        <v>379.199999999998</v>
      </c>
      <c r="CY82" s="470"/>
      <c r="CZ82" s="50">
        <v>0</v>
      </c>
      <c r="DA82" s="50">
        <v>0</v>
      </c>
      <c r="DB82" s="50">
        <v>0</v>
      </c>
      <c r="DC82" s="50">
        <v>328.99999999999818</v>
      </c>
      <c r="DD82" s="470"/>
      <c r="DE82" s="50">
        <v>0</v>
      </c>
      <c r="DF82" s="50">
        <v>0</v>
      </c>
      <c r="DG82" s="50">
        <v>0</v>
      </c>
      <c r="DH82" s="50">
        <v>1540.5999999999992</v>
      </c>
      <c r="DI82" s="470"/>
      <c r="DJ82" s="50">
        <v>0</v>
      </c>
      <c r="DK82" s="50">
        <v>0</v>
      </c>
      <c r="DL82" s="50">
        <v>0</v>
      </c>
      <c r="DM82" s="50">
        <v>0</v>
      </c>
      <c r="DN82" s="470"/>
      <c r="DO82" s="50">
        <v>0</v>
      </c>
      <c r="DP82" s="50">
        <v>0</v>
      </c>
      <c r="DQ82" s="50">
        <v>0</v>
      </c>
      <c r="DR82" s="50">
        <v>498.90000000000509</v>
      </c>
      <c r="DS82" s="470"/>
      <c r="DT82" s="50">
        <v>0</v>
      </c>
      <c r="DU82" s="50">
        <v>0</v>
      </c>
      <c r="DV82" s="50">
        <v>0</v>
      </c>
      <c r="DW82" s="50">
        <v>229.60000000000582</v>
      </c>
      <c r="DX82" s="470"/>
      <c r="DY82" s="50">
        <v>0</v>
      </c>
      <c r="DZ82" s="50">
        <v>0</v>
      </c>
      <c r="EA82" s="50">
        <v>0</v>
      </c>
      <c r="EB82" s="50">
        <v>1494.6000000000931</v>
      </c>
      <c r="EC82" s="470"/>
      <c r="ED82" s="50">
        <v>0</v>
      </c>
      <c r="EE82" s="50">
        <v>0</v>
      </c>
      <c r="EF82" s="50">
        <v>0</v>
      </c>
      <c r="EG82" s="50">
        <v>0</v>
      </c>
      <c r="EH82" s="470"/>
      <c r="EI82" s="50">
        <v>0</v>
      </c>
      <c r="EJ82" s="50">
        <v>0</v>
      </c>
      <c r="EK82" s="50">
        <v>0</v>
      </c>
      <c r="EL82" s="50">
        <v>347.09999999999854</v>
      </c>
      <c r="EM82" s="470"/>
      <c r="EN82" s="50">
        <v>0</v>
      </c>
      <c r="EO82" s="50">
        <v>0</v>
      </c>
      <c r="EP82" s="50">
        <v>0</v>
      </c>
      <c r="EQ82" s="50">
        <v>595.4</v>
      </c>
      <c r="ER82" s="470"/>
      <c r="ES82" s="50">
        <v>0</v>
      </c>
      <c r="ET82" s="50">
        <v>0</v>
      </c>
      <c r="EU82" s="50">
        <v>0</v>
      </c>
      <c r="EV82" s="50">
        <v>0</v>
      </c>
      <c r="EW82" s="470"/>
      <c r="EX82" s="50">
        <v>0</v>
      </c>
      <c r="EY82" s="50">
        <v>0</v>
      </c>
      <c r="EZ82" s="50">
        <v>0</v>
      </c>
      <c r="FA82" s="50">
        <v>85.600000000000364</v>
      </c>
      <c r="FB82" s="470"/>
      <c r="FC82" s="50">
        <v>0</v>
      </c>
      <c r="FD82" s="50">
        <v>0</v>
      </c>
      <c r="FE82" s="50">
        <v>0</v>
      </c>
      <c r="FF82" s="50">
        <v>2619.1000000000004</v>
      </c>
      <c r="FG82" s="470"/>
      <c r="FH82" s="50">
        <v>0</v>
      </c>
      <c r="FI82" s="50">
        <v>0</v>
      </c>
      <c r="FJ82" s="50">
        <v>0</v>
      </c>
      <c r="FK82" s="50">
        <v>7.7000000000007276</v>
      </c>
      <c r="FL82" s="470"/>
      <c r="FM82" s="50">
        <v>0</v>
      </c>
      <c r="FN82" s="50">
        <v>0</v>
      </c>
      <c r="FO82" s="50">
        <v>0</v>
      </c>
      <c r="FP82" s="50">
        <v>230.90000000000327</v>
      </c>
      <c r="FQ82" s="470"/>
      <c r="FR82" s="50">
        <v>0</v>
      </c>
      <c r="FS82" s="50">
        <v>0</v>
      </c>
      <c r="FT82" s="50">
        <v>0</v>
      </c>
      <c r="FU82" s="50">
        <v>194.20000000000073</v>
      </c>
      <c r="FV82" s="470"/>
      <c r="FW82" s="50">
        <v>0</v>
      </c>
      <c r="FX82" s="50">
        <v>0</v>
      </c>
      <c r="FY82" s="50">
        <v>0</v>
      </c>
      <c r="FZ82" s="50">
        <v>0</v>
      </c>
      <c r="GA82" s="470"/>
      <c r="GB82" s="50">
        <v>0</v>
      </c>
      <c r="GC82" s="50">
        <v>0</v>
      </c>
      <c r="GD82" s="50">
        <v>0</v>
      </c>
      <c r="GE82" s="50">
        <v>79.400000000001455</v>
      </c>
      <c r="GF82" s="470"/>
      <c r="GG82" s="50">
        <v>0</v>
      </c>
      <c r="GH82" s="50">
        <v>0</v>
      </c>
      <c r="GI82" s="50">
        <v>0</v>
      </c>
      <c r="GJ82" s="50">
        <v>0</v>
      </c>
      <c r="GK82" s="470"/>
      <c r="GL82" s="50">
        <v>0</v>
      </c>
      <c r="GM82" s="50">
        <v>0</v>
      </c>
      <c r="GN82" s="50">
        <v>0</v>
      </c>
      <c r="GO82" s="50">
        <v>1176.0999999999985</v>
      </c>
      <c r="GP82" s="470"/>
      <c r="GQ82" s="50">
        <v>0</v>
      </c>
      <c r="GR82" s="50">
        <v>0</v>
      </c>
      <c r="GS82" s="50">
        <v>0</v>
      </c>
      <c r="GT82" s="50">
        <v>226.50000000001091</v>
      </c>
      <c r="GU82" s="470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2161</v>
      </c>
      <c r="B83" s="46">
        <f t="shared" si="2"/>
        <v>27053.150000000103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0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0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0"/>
      <c r="S83" s="458">
        <v>0</v>
      </c>
      <c r="T83" s="50">
        <v>0</v>
      </c>
      <c r="U83" s="508">
        <v>232.42499999999973</v>
      </c>
      <c r="V83" s="50">
        <f>'Punten per wedstrijd'!F82</f>
        <v>235.49999999999955</v>
      </c>
      <c r="W83" s="470"/>
      <c r="X83" s="50">
        <v>0</v>
      </c>
      <c r="Y83" s="50">
        <v>0</v>
      </c>
      <c r="Z83" s="50">
        <v>150.07499999999993</v>
      </c>
      <c r="AA83" s="50">
        <v>224.49999999999955</v>
      </c>
      <c r="AB83" s="470"/>
      <c r="AC83" s="50">
        <v>0</v>
      </c>
      <c r="AD83" s="50">
        <v>0</v>
      </c>
      <c r="AE83" s="50">
        <v>318.97500000000014</v>
      </c>
      <c r="AF83" s="50">
        <v>548.59999999999945</v>
      </c>
      <c r="AG83" s="470"/>
      <c r="AH83" s="50">
        <v>0</v>
      </c>
      <c r="AI83" s="50">
        <v>0</v>
      </c>
      <c r="AJ83" s="50">
        <v>891.37499999999966</v>
      </c>
      <c r="AK83" s="50">
        <v>503.49999999999955</v>
      </c>
      <c r="AL83" s="470"/>
      <c r="AM83" s="458">
        <v>0</v>
      </c>
      <c r="AN83" s="458">
        <v>0</v>
      </c>
      <c r="AO83" s="458">
        <v>144.44999999999891</v>
      </c>
      <c r="AP83" s="50">
        <v>598.099999999999</v>
      </c>
      <c r="AQ83" s="470"/>
      <c r="AR83" s="50">
        <v>0</v>
      </c>
      <c r="AS83" s="50">
        <v>0</v>
      </c>
      <c r="AT83" s="50">
        <v>407.92499999999905</v>
      </c>
      <c r="AU83" s="50">
        <v>284.5</v>
      </c>
      <c r="AV83" s="470"/>
      <c r="AW83" s="50">
        <v>0</v>
      </c>
      <c r="AX83" s="50">
        <v>0</v>
      </c>
      <c r="AY83" s="50">
        <v>299.39999999999986</v>
      </c>
      <c r="AZ83" s="50">
        <v>820.99999999999909</v>
      </c>
      <c r="BA83" s="470"/>
      <c r="BB83" s="50">
        <v>0</v>
      </c>
      <c r="BC83" s="50">
        <v>0</v>
      </c>
      <c r="BD83" s="50">
        <v>218.62499999999932</v>
      </c>
      <c r="BE83" s="50">
        <v>483.5</v>
      </c>
      <c r="BF83" s="470"/>
      <c r="BG83" s="50">
        <v>0</v>
      </c>
      <c r="BH83" s="50">
        <v>0</v>
      </c>
      <c r="BI83" s="50">
        <v>180.97499999999877</v>
      </c>
      <c r="BJ83" s="50">
        <v>183.1</v>
      </c>
      <c r="BK83" s="470"/>
      <c r="BL83" s="50">
        <v>0</v>
      </c>
      <c r="BM83" s="50">
        <v>0</v>
      </c>
      <c r="BN83" s="50">
        <v>284.62499999999932</v>
      </c>
      <c r="BO83" s="518">
        <v>153.4</v>
      </c>
      <c r="BP83" s="470"/>
      <c r="BQ83" s="50">
        <v>0</v>
      </c>
      <c r="BR83" s="50">
        <v>0</v>
      </c>
      <c r="BS83" s="50">
        <v>129.82499999999959</v>
      </c>
      <c r="BT83" s="518">
        <v>471.49999999999818</v>
      </c>
      <c r="BU83" s="470"/>
      <c r="BV83" s="50">
        <v>0</v>
      </c>
      <c r="BW83" s="50">
        <v>0</v>
      </c>
      <c r="BX83" s="50">
        <v>0</v>
      </c>
      <c r="BY83" s="50">
        <v>592.09999999999854</v>
      </c>
      <c r="BZ83" s="470"/>
      <c r="CA83" s="50">
        <v>0</v>
      </c>
      <c r="CB83" s="50">
        <v>0</v>
      </c>
      <c r="CC83" s="50">
        <v>0</v>
      </c>
      <c r="CD83" s="50">
        <v>152.29999999999927</v>
      </c>
      <c r="CE83" s="470"/>
      <c r="CF83" s="50">
        <v>0</v>
      </c>
      <c r="CG83" s="50">
        <v>0</v>
      </c>
      <c r="CH83" s="50">
        <v>0</v>
      </c>
      <c r="CI83" s="50">
        <v>152.49999999999818</v>
      </c>
      <c r="CJ83" s="470"/>
      <c r="CK83" s="50">
        <v>0</v>
      </c>
      <c r="CL83" s="50">
        <v>0</v>
      </c>
      <c r="CM83" s="50">
        <v>0</v>
      </c>
      <c r="CN83" s="50">
        <v>225.99999999999909</v>
      </c>
      <c r="CO83" s="470"/>
      <c r="CP83" s="50">
        <v>0</v>
      </c>
      <c r="CQ83" s="50">
        <v>0</v>
      </c>
      <c r="CR83" s="50">
        <v>0</v>
      </c>
      <c r="CS83" s="50">
        <v>488.60000000000127</v>
      </c>
      <c r="CT83" s="470"/>
      <c r="CU83" s="50">
        <v>0</v>
      </c>
      <c r="CV83" s="50">
        <v>0</v>
      </c>
      <c r="CW83" s="50">
        <v>0</v>
      </c>
      <c r="CX83" s="50">
        <v>521</v>
      </c>
      <c r="CY83" s="470"/>
      <c r="CZ83" s="50">
        <v>0</v>
      </c>
      <c r="DA83" s="50">
        <v>0</v>
      </c>
      <c r="DB83" s="50">
        <v>0</v>
      </c>
      <c r="DC83" s="50">
        <v>222</v>
      </c>
      <c r="DD83" s="470"/>
      <c r="DE83" s="50">
        <v>0</v>
      </c>
      <c r="DF83" s="50">
        <v>0</v>
      </c>
      <c r="DG83" s="50">
        <v>0</v>
      </c>
      <c r="DH83" s="50">
        <v>2762.5</v>
      </c>
      <c r="DI83" s="470"/>
      <c r="DJ83" s="50">
        <v>0</v>
      </c>
      <c r="DK83" s="50">
        <v>0</v>
      </c>
      <c r="DL83" s="50">
        <v>0</v>
      </c>
      <c r="DM83" s="50">
        <v>0</v>
      </c>
      <c r="DN83" s="470"/>
      <c r="DO83" s="50">
        <v>0</v>
      </c>
      <c r="DP83" s="50">
        <v>0</v>
      </c>
      <c r="DQ83" s="50">
        <v>0</v>
      </c>
      <c r="DR83" s="50">
        <v>489.79999999999745</v>
      </c>
      <c r="DS83" s="470"/>
      <c r="DT83" s="50">
        <v>0</v>
      </c>
      <c r="DU83" s="50">
        <v>0</v>
      </c>
      <c r="DV83" s="50">
        <v>0</v>
      </c>
      <c r="DW83" s="50">
        <v>372.69999999999891</v>
      </c>
      <c r="DX83" s="470"/>
      <c r="DY83" s="50">
        <v>0</v>
      </c>
      <c r="DZ83" s="50">
        <v>0</v>
      </c>
      <c r="EA83" s="50">
        <v>0</v>
      </c>
      <c r="EB83" s="50">
        <v>3893.1000000000804</v>
      </c>
      <c r="EC83" s="470"/>
      <c r="ED83" s="50">
        <v>0</v>
      </c>
      <c r="EE83" s="50">
        <v>0</v>
      </c>
      <c r="EF83" s="50">
        <v>0</v>
      </c>
      <c r="EG83" s="50">
        <v>0</v>
      </c>
      <c r="EH83" s="470"/>
      <c r="EI83" s="50">
        <v>0</v>
      </c>
      <c r="EJ83" s="50">
        <v>0</v>
      </c>
      <c r="EK83" s="50">
        <v>0</v>
      </c>
      <c r="EL83" s="50">
        <v>378.50000000000364</v>
      </c>
      <c r="EM83" s="470"/>
      <c r="EN83" s="50">
        <v>0</v>
      </c>
      <c r="EO83" s="50">
        <v>0</v>
      </c>
      <c r="EP83" s="50">
        <v>0</v>
      </c>
      <c r="EQ83" s="50">
        <v>525.20000000000437</v>
      </c>
      <c r="ER83" s="470"/>
      <c r="ES83" s="50">
        <v>0</v>
      </c>
      <c r="ET83" s="50">
        <v>0</v>
      </c>
      <c r="EU83" s="50">
        <v>0</v>
      </c>
      <c r="EV83" s="50">
        <v>0</v>
      </c>
      <c r="EW83" s="470"/>
      <c r="EX83" s="50">
        <v>0</v>
      </c>
      <c r="EY83" s="50">
        <v>0</v>
      </c>
      <c r="EZ83" s="50">
        <v>0</v>
      </c>
      <c r="FA83" s="50">
        <v>403.40000000000509</v>
      </c>
      <c r="FB83" s="470"/>
      <c r="FC83" s="50">
        <v>0</v>
      </c>
      <c r="FD83" s="50">
        <v>0</v>
      </c>
      <c r="FE83" s="50">
        <v>0</v>
      </c>
      <c r="FF83" s="50">
        <v>3815</v>
      </c>
      <c r="FG83" s="470"/>
      <c r="FH83" s="50">
        <v>0</v>
      </c>
      <c r="FI83" s="50">
        <v>0</v>
      </c>
      <c r="FJ83" s="50">
        <v>0</v>
      </c>
      <c r="FK83" s="50">
        <v>228.50000000000728</v>
      </c>
      <c r="FL83" s="470"/>
      <c r="FM83" s="50">
        <v>0</v>
      </c>
      <c r="FN83" s="50">
        <v>0</v>
      </c>
      <c r="FO83" s="50">
        <v>0</v>
      </c>
      <c r="FP83" s="50">
        <v>249.50000000000364</v>
      </c>
      <c r="FQ83" s="470"/>
      <c r="FR83" s="50">
        <v>0</v>
      </c>
      <c r="FS83" s="50">
        <v>0</v>
      </c>
      <c r="FT83" s="50">
        <v>0</v>
      </c>
      <c r="FU83" s="50">
        <v>341.10000000000582</v>
      </c>
      <c r="FV83" s="470"/>
      <c r="FW83" s="50">
        <v>0</v>
      </c>
      <c r="FX83" s="50">
        <v>0</v>
      </c>
      <c r="FY83" s="50">
        <v>0</v>
      </c>
      <c r="FZ83" s="50">
        <v>0</v>
      </c>
      <c r="GA83" s="470"/>
      <c r="GB83" s="50">
        <v>0</v>
      </c>
      <c r="GC83" s="50">
        <v>0</v>
      </c>
      <c r="GD83" s="50">
        <v>0</v>
      </c>
      <c r="GE83" s="50">
        <v>494.70000000000073</v>
      </c>
      <c r="GF83" s="470"/>
      <c r="GG83" s="50">
        <v>0</v>
      </c>
      <c r="GH83" s="50">
        <v>0</v>
      </c>
      <c r="GI83" s="50">
        <v>0</v>
      </c>
      <c r="GJ83" s="50">
        <v>0</v>
      </c>
      <c r="GK83" s="470"/>
      <c r="GL83" s="50">
        <v>0</v>
      </c>
      <c r="GM83" s="50">
        <v>0</v>
      </c>
      <c r="GN83" s="50">
        <v>0</v>
      </c>
      <c r="GO83" s="50">
        <v>1102.200000000008</v>
      </c>
      <c r="GP83" s="470"/>
      <c r="GQ83" s="50">
        <v>0</v>
      </c>
      <c r="GR83" s="50">
        <v>0</v>
      </c>
      <c r="GS83" s="50">
        <v>0</v>
      </c>
      <c r="GT83" s="50">
        <v>349.50000000000182</v>
      </c>
      <c r="GU83" s="470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3385</v>
      </c>
      <c r="B84" s="46">
        <f t="shared" si="2"/>
        <v>5816.9999999999973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0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0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0"/>
      <c r="S84" s="458">
        <v>0</v>
      </c>
      <c r="T84" s="50">
        <v>0</v>
      </c>
      <c r="U84" s="508">
        <v>0</v>
      </c>
      <c r="V84" s="50">
        <f>'Punten per wedstrijd'!F83</f>
        <v>97.5</v>
      </c>
      <c r="W84" s="470"/>
      <c r="X84" s="50">
        <v>0</v>
      </c>
      <c r="Y84" s="50">
        <v>0</v>
      </c>
      <c r="Z84" s="50">
        <v>0</v>
      </c>
      <c r="AA84" s="50">
        <v>35.400000000000091</v>
      </c>
      <c r="AB84" s="470"/>
      <c r="AC84" s="50">
        <v>0</v>
      </c>
      <c r="AD84" s="50">
        <v>0</v>
      </c>
      <c r="AE84" s="50">
        <v>0</v>
      </c>
      <c r="AF84" s="50">
        <v>701.900000000001</v>
      </c>
      <c r="AG84" s="470"/>
      <c r="AH84" s="50">
        <v>0</v>
      </c>
      <c r="AI84" s="50">
        <v>0</v>
      </c>
      <c r="AJ84" s="50">
        <v>0</v>
      </c>
      <c r="AK84" s="50">
        <v>844.400000000001</v>
      </c>
      <c r="AL84" s="470"/>
      <c r="AM84" s="458">
        <v>0</v>
      </c>
      <c r="AN84" s="458">
        <v>0</v>
      </c>
      <c r="AO84" s="458">
        <v>0</v>
      </c>
      <c r="AP84" s="50">
        <v>621.99999999999909</v>
      </c>
      <c r="AQ84" s="470"/>
      <c r="AR84" s="50">
        <v>0</v>
      </c>
      <c r="AS84" s="50">
        <v>0</v>
      </c>
      <c r="AT84" s="50">
        <v>0</v>
      </c>
      <c r="AU84" s="50">
        <v>19.5</v>
      </c>
      <c r="AV84" s="470"/>
      <c r="AW84" s="50">
        <v>0</v>
      </c>
      <c r="AX84" s="50">
        <v>0</v>
      </c>
      <c r="AY84" s="50">
        <v>0</v>
      </c>
      <c r="AZ84" s="50">
        <v>904.99999999999727</v>
      </c>
      <c r="BA84" s="470"/>
      <c r="BB84" s="50">
        <v>0</v>
      </c>
      <c r="BC84" s="50">
        <v>0</v>
      </c>
      <c r="BD84" s="50">
        <v>0</v>
      </c>
      <c r="BE84" s="50">
        <v>543</v>
      </c>
      <c r="BF84" s="470"/>
      <c r="BG84" s="50">
        <v>0</v>
      </c>
      <c r="BH84" s="50">
        <v>0</v>
      </c>
      <c r="BI84" s="50">
        <v>0</v>
      </c>
      <c r="BJ84" s="50">
        <v>194.3</v>
      </c>
      <c r="BK84" s="470"/>
      <c r="BL84" s="50">
        <v>0</v>
      </c>
      <c r="BM84" s="50">
        <v>0</v>
      </c>
      <c r="BN84" s="50">
        <v>0</v>
      </c>
      <c r="BO84" s="518">
        <v>65.099999999999994</v>
      </c>
      <c r="BP84" s="470"/>
      <c r="BQ84" s="50">
        <v>0</v>
      </c>
      <c r="BR84" s="50">
        <v>0</v>
      </c>
      <c r="BS84" s="50">
        <v>0</v>
      </c>
      <c r="BT84" s="518">
        <v>431.39999999999782</v>
      </c>
      <c r="BU84" s="470"/>
      <c r="BV84" s="50"/>
      <c r="BW84" s="50"/>
      <c r="BX84" s="50"/>
      <c r="BY84" s="50"/>
      <c r="BZ84" s="470"/>
      <c r="CA84" s="50"/>
      <c r="CB84" s="50"/>
      <c r="CC84" s="50"/>
      <c r="CD84" s="50"/>
      <c r="CE84" s="470"/>
      <c r="CF84" s="50"/>
      <c r="CG84" s="50"/>
      <c r="CH84" s="50"/>
      <c r="CI84" s="50"/>
      <c r="CJ84" s="470"/>
      <c r="CK84" s="50"/>
      <c r="CL84" s="50"/>
      <c r="CM84" s="50"/>
      <c r="CN84" s="50"/>
      <c r="CO84" s="470"/>
      <c r="CP84" s="50"/>
      <c r="CQ84" s="50"/>
      <c r="CR84" s="50"/>
      <c r="CS84" s="50"/>
      <c r="CT84" s="470"/>
      <c r="CU84" s="50"/>
      <c r="CV84" s="50"/>
      <c r="CW84" s="50"/>
      <c r="CX84" s="50"/>
      <c r="CY84" s="470"/>
      <c r="CZ84" s="50"/>
      <c r="DA84" s="50"/>
      <c r="DB84" s="50"/>
      <c r="DC84" s="50"/>
      <c r="DD84" s="470"/>
      <c r="DE84" s="50"/>
      <c r="DF84" s="50"/>
      <c r="DG84" s="50"/>
      <c r="DH84" s="50"/>
      <c r="DI84" s="470"/>
      <c r="DJ84" s="50"/>
      <c r="DK84" s="50"/>
      <c r="DL84" s="50"/>
      <c r="DM84" s="50"/>
      <c r="DN84" s="470"/>
      <c r="DO84" s="50"/>
      <c r="DP84" s="50"/>
      <c r="DQ84" s="50"/>
      <c r="DR84" s="50"/>
      <c r="DS84" s="470"/>
      <c r="DT84" s="50"/>
      <c r="DU84" s="50"/>
      <c r="DV84" s="50"/>
      <c r="DW84" s="50"/>
      <c r="DX84" s="470"/>
      <c r="DY84" s="50"/>
      <c r="DZ84" s="50"/>
      <c r="EA84" s="50"/>
      <c r="EB84" s="50"/>
      <c r="EC84" s="470"/>
      <c r="ED84" s="50"/>
      <c r="EE84" s="50"/>
      <c r="EF84" s="50"/>
      <c r="EG84" s="50"/>
      <c r="EH84" s="470"/>
      <c r="EI84" s="50"/>
      <c r="EJ84" s="50"/>
      <c r="EK84" s="50"/>
      <c r="EL84" s="50"/>
      <c r="EM84" s="470"/>
      <c r="EN84" s="50"/>
      <c r="EO84" s="50"/>
      <c r="EP84" s="50"/>
      <c r="EQ84" s="50"/>
      <c r="ER84" s="470"/>
      <c r="ES84" s="50"/>
      <c r="ET84" s="50"/>
      <c r="EU84" s="50"/>
      <c r="EV84" s="50"/>
      <c r="EW84" s="470"/>
      <c r="EX84" s="50"/>
      <c r="EY84" s="50"/>
      <c r="EZ84" s="50"/>
      <c r="FA84" s="50"/>
      <c r="FB84" s="470"/>
      <c r="FC84" s="50"/>
      <c r="FD84" s="50"/>
      <c r="FE84" s="50"/>
      <c r="FF84" s="50"/>
      <c r="FG84" s="470"/>
      <c r="FH84" s="50"/>
      <c r="FI84" s="50"/>
      <c r="FJ84" s="50"/>
      <c r="FK84" s="50"/>
      <c r="FL84" s="470"/>
      <c r="FM84" s="50"/>
      <c r="FN84" s="50"/>
      <c r="FO84" s="50"/>
      <c r="FP84" s="50"/>
      <c r="FQ84" s="470"/>
      <c r="FR84" s="50"/>
      <c r="FS84" s="50"/>
      <c r="FT84" s="50"/>
      <c r="FU84" s="50"/>
      <c r="FV84" s="470"/>
      <c r="FW84" s="50"/>
      <c r="FX84" s="50"/>
      <c r="FY84" s="50"/>
      <c r="FZ84" s="50"/>
      <c r="GA84" s="470"/>
      <c r="GB84" s="50"/>
      <c r="GC84" s="50"/>
      <c r="GD84" s="50"/>
      <c r="GE84" s="50"/>
      <c r="GF84" s="470"/>
      <c r="GG84" s="50"/>
      <c r="GH84" s="50"/>
      <c r="GI84" s="50"/>
      <c r="GJ84" s="50"/>
      <c r="GK84" s="470"/>
      <c r="GL84" s="50"/>
      <c r="GM84" s="50"/>
      <c r="GN84" s="50"/>
      <c r="GO84" s="50"/>
      <c r="GP84" s="470"/>
      <c r="GQ84" s="50"/>
      <c r="GR84" s="50"/>
      <c r="GS84" s="50"/>
      <c r="GT84" s="50"/>
      <c r="GU84" s="470"/>
      <c r="GZ84" s="143"/>
      <c r="HA84" s="464"/>
      <c r="HI84" s="143"/>
      <c r="HJ84" s="464"/>
      <c r="HR84" s="143"/>
      <c r="HS84" s="464"/>
      <c r="IB84" s="464"/>
      <c r="IK84" s="464"/>
      <c r="IT84" s="464"/>
      <c r="JC84" s="464"/>
      <c r="JL84" s="464"/>
      <c r="JU84" s="464"/>
      <c r="KD84" s="464"/>
      <c r="KM84" s="464"/>
      <c r="KV84" s="464"/>
      <c r="LE84" s="464"/>
      <c r="MF84" s="464"/>
      <c r="MO84" s="464"/>
      <c r="MX84" s="464"/>
      <c r="NG84" s="464"/>
      <c r="NP84" s="464"/>
      <c r="NY84" s="464"/>
      <c r="OE84" s="37"/>
    </row>
    <row r="85" spans="1:396" ht="18">
      <c r="A85" s="41" t="s">
        <v>733</v>
      </c>
      <c r="B85" s="46">
        <f t="shared" si="2"/>
        <v>53027.962499999769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0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0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0"/>
      <c r="S85" s="458">
        <v>30.725000000000023</v>
      </c>
      <c r="T85" s="50">
        <v>76.150000000000148</v>
      </c>
      <c r="U85" s="508">
        <v>173.77499999999986</v>
      </c>
      <c r="V85" s="50">
        <f>'Punten per wedstrijd'!F84</f>
        <v>284.79999999999995</v>
      </c>
      <c r="W85" s="470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0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70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0"/>
      <c r="AM85" s="458">
        <v>58.225000000000136</v>
      </c>
      <c r="AN85" s="458">
        <v>152.34999999999991</v>
      </c>
      <c r="AO85" s="458">
        <v>315.52499999999918</v>
      </c>
      <c r="AP85" s="50">
        <v>341.60000000000036</v>
      </c>
      <c r="AQ85" s="470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70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70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70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70"/>
      <c r="BL85" s="50">
        <v>0</v>
      </c>
      <c r="BM85" s="50">
        <v>58.700000000000273</v>
      </c>
      <c r="BN85" s="50">
        <v>106.87500000000068</v>
      </c>
      <c r="BO85" s="518">
        <v>229.8</v>
      </c>
      <c r="BP85" s="470"/>
      <c r="BQ85" s="50">
        <v>65.800000000000637</v>
      </c>
      <c r="BR85" s="50">
        <v>168.25</v>
      </c>
      <c r="BS85" s="50">
        <v>153.67500000000109</v>
      </c>
      <c r="BT85" s="518">
        <v>258.00000000000273</v>
      </c>
      <c r="BU85" s="470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0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0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0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0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0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0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0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0"/>
      <c r="DJ85" s="50">
        <v>74.975000000000364</v>
      </c>
      <c r="DK85" s="50">
        <v>0</v>
      </c>
      <c r="DL85" s="50">
        <v>0</v>
      </c>
      <c r="DM85" s="50">
        <v>0</v>
      </c>
      <c r="DN85" s="470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0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0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0"/>
      <c r="ED85" s="50">
        <v>45.300000000000182</v>
      </c>
      <c r="EE85" s="50">
        <v>0</v>
      </c>
      <c r="EF85" s="50">
        <v>0</v>
      </c>
      <c r="EG85" s="50">
        <v>0</v>
      </c>
      <c r="EH85" s="470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0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0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0"/>
      <c r="EX85" s="50">
        <v>89.049999999999272</v>
      </c>
      <c r="EY85" s="50">
        <v>0</v>
      </c>
      <c r="EZ85" s="50">
        <v>0</v>
      </c>
      <c r="FA85" s="50">
        <v>353.299999999992</v>
      </c>
      <c r="FB85" s="470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0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0"/>
      <c r="FM85" s="50">
        <v>103.39999999999873</v>
      </c>
      <c r="FN85" s="50">
        <v>0</v>
      </c>
      <c r="FO85" s="50">
        <v>0</v>
      </c>
      <c r="FP85" s="50">
        <v>244.29999999999927</v>
      </c>
      <c r="FQ85" s="470"/>
      <c r="FR85" s="50">
        <v>98.324999999998909</v>
      </c>
      <c r="FS85" s="50">
        <v>0</v>
      </c>
      <c r="FT85" s="50">
        <v>0</v>
      </c>
      <c r="FU85" s="50">
        <v>306.39999999999782</v>
      </c>
      <c r="FV85" s="470"/>
      <c r="FW85" s="50">
        <v>24.374999999999773</v>
      </c>
      <c r="FX85" s="50">
        <v>0</v>
      </c>
      <c r="FY85" s="50">
        <v>0</v>
      </c>
      <c r="FZ85" s="50">
        <v>0</v>
      </c>
      <c r="GA85" s="470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0"/>
      <c r="GG85" s="50">
        <v>123.60000000000036</v>
      </c>
      <c r="GH85" s="50">
        <v>0</v>
      </c>
      <c r="GI85" s="50">
        <v>0</v>
      </c>
      <c r="GJ85" s="50">
        <v>0</v>
      </c>
      <c r="GK85" s="470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0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0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3388</v>
      </c>
      <c r="B86" s="46">
        <f t="shared" si="2"/>
        <v>5923.1999999999953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0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0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0"/>
      <c r="S86" s="458">
        <v>0</v>
      </c>
      <c r="T86" s="50">
        <v>0</v>
      </c>
      <c r="U86" s="508">
        <v>0</v>
      </c>
      <c r="V86" s="50">
        <f>'Punten per wedstrijd'!F85</f>
        <v>199.5</v>
      </c>
      <c r="W86" s="470"/>
      <c r="X86" s="50">
        <v>0</v>
      </c>
      <c r="Y86" s="50">
        <v>0</v>
      </c>
      <c r="Z86" s="50">
        <v>0</v>
      </c>
      <c r="AA86" s="50">
        <v>21</v>
      </c>
      <c r="AB86" s="470"/>
      <c r="AC86" s="50">
        <v>0</v>
      </c>
      <c r="AD86" s="50">
        <v>0</v>
      </c>
      <c r="AE86" s="50">
        <v>0</v>
      </c>
      <c r="AF86" s="50">
        <v>893.29999999999882</v>
      </c>
      <c r="AG86" s="470"/>
      <c r="AH86" s="50">
        <v>0</v>
      </c>
      <c r="AI86" s="50">
        <v>0</v>
      </c>
      <c r="AJ86" s="50">
        <v>0</v>
      </c>
      <c r="AK86" s="50">
        <v>759.29999999999973</v>
      </c>
      <c r="AL86" s="470"/>
      <c r="AM86" s="458">
        <v>0</v>
      </c>
      <c r="AN86" s="458">
        <v>0</v>
      </c>
      <c r="AO86" s="458">
        <v>0</v>
      </c>
      <c r="AP86" s="50">
        <v>557.99999999999864</v>
      </c>
      <c r="AQ86" s="470"/>
      <c r="AR86" s="50">
        <v>0</v>
      </c>
      <c r="AS86" s="50">
        <v>0</v>
      </c>
      <c r="AT86" s="50">
        <v>0</v>
      </c>
      <c r="AU86" s="50">
        <v>399.59999999999997</v>
      </c>
      <c r="AV86" s="470"/>
      <c r="AW86" s="50">
        <v>0</v>
      </c>
      <c r="AX86" s="50">
        <v>0</v>
      </c>
      <c r="AY86" s="50">
        <v>0</v>
      </c>
      <c r="AZ86" s="50">
        <v>717.5</v>
      </c>
      <c r="BA86" s="470"/>
      <c r="BB86" s="50">
        <v>0</v>
      </c>
      <c r="BC86" s="50">
        <v>0</v>
      </c>
      <c r="BD86" s="50">
        <v>0</v>
      </c>
      <c r="BE86" s="50">
        <v>396.8</v>
      </c>
      <c r="BF86" s="470"/>
      <c r="BG86" s="50">
        <v>0</v>
      </c>
      <c r="BH86" s="50">
        <v>0</v>
      </c>
      <c r="BI86" s="50">
        <v>0</v>
      </c>
      <c r="BJ86" s="50">
        <v>320.5</v>
      </c>
      <c r="BK86" s="470"/>
      <c r="BL86" s="50">
        <v>0</v>
      </c>
      <c r="BM86" s="50">
        <v>0</v>
      </c>
      <c r="BN86" s="50">
        <v>0</v>
      </c>
      <c r="BO86" s="518">
        <v>190.5</v>
      </c>
      <c r="BP86" s="470"/>
      <c r="BQ86" s="50">
        <v>0</v>
      </c>
      <c r="BR86" s="50">
        <v>0</v>
      </c>
      <c r="BS86" s="50">
        <v>0</v>
      </c>
      <c r="BT86" s="518">
        <v>457.89999999999873</v>
      </c>
      <c r="BU86" s="470"/>
      <c r="BV86" s="50"/>
      <c r="BW86" s="50"/>
      <c r="BX86" s="50"/>
      <c r="BY86" s="50"/>
      <c r="BZ86" s="470"/>
      <c r="CA86" s="50"/>
      <c r="CB86" s="50"/>
      <c r="CC86" s="50"/>
      <c r="CD86" s="50"/>
      <c r="CE86" s="470"/>
      <c r="CF86" s="50"/>
      <c r="CG86" s="50"/>
      <c r="CH86" s="50"/>
      <c r="CI86" s="50"/>
      <c r="CJ86" s="470"/>
      <c r="CK86" s="50"/>
      <c r="CL86" s="50"/>
      <c r="CM86" s="50"/>
      <c r="CN86" s="50"/>
      <c r="CO86" s="470"/>
      <c r="CP86" s="50"/>
      <c r="CQ86" s="50"/>
      <c r="CR86" s="50"/>
      <c r="CS86" s="50"/>
      <c r="CT86" s="470"/>
      <c r="CU86" s="50"/>
      <c r="CV86" s="50"/>
      <c r="CW86" s="50"/>
      <c r="CX86" s="50"/>
      <c r="CY86" s="470"/>
      <c r="CZ86" s="50"/>
      <c r="DA86" s="50"/>
      <c r="DB86" s="50"/>
      <c r="DC86" s="50"/>
      <c r="DD86" s="470"/>
      <c r="DE86" s="50"/>
      <c r="DF86" s="50"/>
      <c r="DG86" s="50"/>
      <c r="DH86" s="50"/>
      <c r="DI86" s="470"/>
      <c r="DJ86" s="50"/>
      <c r="DK86" s="50"/>
      <c r="DL86" s="50"/>
      <c r="DM86" s="50"/>
      <c r="DN86" s="470"/>
      <c r="DO86" s="50"/>
      <c r="DP86" s="50"/>
      <c r="DQ86" s="50"/>
      <c r="DR86" s="50"/>
      <c r="DS86" s="470"/>
      <c r="DT86" s="50"/>
      <c r="DU86" s="50"/>
      <c r="DV86" s="50"/>
      <c r="DW86" s="50"/>
      <c r="DX86" s="470"/>
      <c r="DY86" s="50"/>
      <c r="DZ86" s="50"/>
      <c r="EA86" s="50"/>
      <c r="EB86" s="50"/>
      <c r="EC86" s="470"/>
      <c r="ED86" s="50"/>
      <c r="EE86" s="50"/>
      <c r="EF86" s="50"/>
      <c r="EG86" s="50"/>
      <c r="EH86" s="470"/>
      <c r="EI86" s="50"/>
      <c r="EJ86" s="50"/>
      <c r="EK86" s="50"/>
      <c r="EL86" s="50"/>
      <c r="EM86" s="470"/>
      <c r="EN86" s="50"/>
      <c r="EO86" s="50"/>
      <c r="EP86" s="50"/>
      <c r="EQ86" s="50"/>
      <c r="ER86" s="470"/>
      <c r="ES86" s="50"/>
      <c r="ET86" s="50"/>
      <c r="EU86" s="50"/>
      <c r="EV86" s="50"/>
      <c r="EW86" s="470"/>
      <c r="EX86" s="50"/>
      <c r="EY86" s="50"/>
      <c r="EZ86" s="50"/>
      <c r="FA86" s="50"/>
      <c r="FB86" s="470"/>
      <c r="FC86" s="50"/>
      <c r="FD86" s="50"/>
      <c r="FE86" s="50"/>
      <c r="FF86" s="50"/>
      <c r="FG86" s="470"/>
      <c r="FH86" s="50"/>
      <c r="FI86" s="50"/>
      <c r="FJ86" s="50"/>
      <c r="FK86" s="50"/>
      <c r="FL86" s="470"/>
      <c r="FM86" s="50"/>
      <c r="FN86" s="50"/>
      <c r="FO86" s="50"/>
      <c r="FP86" s="50"/>
      <c r="FQ86" s="470"/>
      <c r="FR86" s="50"/>
      <c r="FS86" s="50"/>
      <c r="FT86" s="50"/>
      <c r="FU86" s="50"/>
      <c r="FV86" s="470"/>
      <c r="FW86" s="50"/>
      <c r="FX86" s="50"/>
      <c r="FY86" s="50"/>
      <c r="FZ86" s="50"/>
      <c r="GA86" s="470"/>
      <c r="GB86" s="50"/>
      <c r="GC86" s="50"/>
      <c r="GD86" s="50"/>
      <c r="GE86" s="50"/>
      <c r="GF86" s="470"/>
      <c r="GG86" s="50"/>
      <c r="GH86" s="50"/>
      <c r="GI86" s="50"/>
      <c r="GJ86" s="50"/>
      <c r="GK86" s="470"/>
      <c r="GL86" s="50"/>
      <c r="GM86" s="50"/>
      <c r="GN86" s="50"/>
      <c r="GO86" s="50"/>
      <c r="GP86" s="470"/>
      <c r="GQ86" s="50"/>
      <c r="GR86" s="50"/>
      <c r="GS86" s="50"/>
      <c r="GT86" s="50"/>
      <c r="GU86" s="470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2006</v>
      </c>
      <c r="B87" s="46">
        <f t="shared" si="2"/>
        <v>42156.812499999985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0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0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0"/>
      <c r="S87" s="458">
        <v>0</v>
      </c>
      <c r="T87" s="50">
        <v>3.4499999999999318</v>
      </c>
      <c r="U87" s="508">
        <v>132.1500000000002</v>
      </c>
      <c r="V87" s="50">
        <f>'Punten per wedstrijd'!F86</f>
        <v>183.99999999999955</v>
      </c>
      <c r="W87" s="470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0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70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0"/>
      <c r="AM87" s="458">
        <v>0</v>
      </c>
      <c r="AN87" s="458">
        <v>221.79999999999995</v>
      </c>
      <c r="AO87" s="458">
        <v>162.14999999999918</v>
      </c>
      <c r="AP87" s="50">
        <v>639.20000000000164</v>
      </c>
      <c r="AQ87" s="470"/>
      <c r="AR87" s="50">
        <v>0</v>
      </c>
      <c r="AS87" s="50">
        <v>106.7000000000005</v>
      </c>
      <c r="AT87" s="50">
        <v>327.37499999999932</v>
      </c>
      <c r="AU87" s="50">
        <v>329.5</v>
      </c>
      <c r="AV87" s="470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70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70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70"/>
      <c r="BL87" s="50">
        <v>0</v>
      </c>
      <c r="BM87" s="50">
        <v>5.7500000000009095</v>
      </c>
      <c r="BN87" s="50">
        <v>115.87500000000136</v>
      </c>
      <c r="BO87" s="518">
        <v>148.19999999999999</v>
      </c>
      <c r="BP87" s="470"/>
      <c r="BQ87" s="50">
        <v>0</v>
      </c>
      <c r="BR87" s="50">
        <v>109.25</v>
      </c>
      <c r="BS87" s="50">
        <v>110.70000000000027</v>
      </c>
      <c r="BT87" s="518">
        <v>443.90000000000236</v>
      </c>
      <c r="BU87" s="470"/>
      <c r="BV87" s="50">
        <v>0</v>
      </c>
      <c r="BW87" s="50">
        <v>0</v>
      </c>
      <c r="BX87" s="50">
        <v>869.25000000000068</v>
      </c>
      <c r="BY87" s="50">
        <v>772.60000000000036</v>
      </c>
      <c r="BZ87" s="470"/>
      <c r="CA87" s="50">
        <v>0</v>
      </c>
      <c r="CB87" s="50">
        <v>0</v>
      </c>
      <c r="CC87" s="50">
        <v>143.69999999999891</v>
      </c>
      <c r="CD87" s="50">
        <v>137.70000000000073</v>
      </c>
      <c r="CE87" s="470"/>
      <c r="CF87" s="50">
        <v>0</v>
      </c>
      <c r="CG87" s="50">
        <v>0</v>
      </c>
      <c r="CH87" s="50">
        <v>187.87500000000068</v>
      </c>
      <c r="CI87" s="50">
        <v>80.000000000000909</v>
      </c>
      <c r="CJ87" s="470"/>
      <c r="CK87" s="50">
        <v>0</v>
      </c>
      <c r="CL87" s="50">
        <v>0</v>
      </c>
      <c r="CM87" s="50">
        <v>374.10000000000014</v>
      </c>
      <c r="CN87" s="50">
        <v>151.00000000000091</v>
      </c>
      <c r="CO87" s="470"/>
      <c r="CP87" s="50">
        <v>0</v>
      </c>
      <c r="CQ87" s="50">
        <v>0</v>
      </c>
      <c r="CR87" s="50">
        <v>490.27500000000191</v>
      </c>
      <c r="CS87" s="50">
        <v>350.40000000000146</v>
      </c>
      <c r="CT87" s="470"/>
      <c r="CU87" s="50">
        <v>0</v>
      </c>
      <c r="CV87" s="50">
        <v>0</v>
      </c>
      <c r="CW87" s="50">
        <v>114.60000000000355</v>
      </c>
      <c r="CX87" s="50">
        <v>411.10000000000036</v>
      </c>
      <c r="CY87" s="470"/>
      <c r="CZ87" s="50">
        <v>0</v>
      </c>
      <c r="DA87" s="50">
        <v>0</v>
      </c>
      <c r="DB87" s="50">
        <v>63.374999999994543</v>
      </c>
      <c r="DC87" s="50">
        <v>31.600000000000364</v>
      </c>
      <c r="DD87" s="470"/>
      <c r="DE87" s="50">
        <v>0</v>
      </c>
      <c r="DF87" s="50">
        <v>0</v>
      </c>
      <c r="DG87" s="50">
        <v>2307.9375000000014</v>
      </c>
      <c r="DH87" s="50">
        <v>3107.3999999999996</v>
      </c>
      <c r="DI87" s="470"/>
      <c r="DJ87" s="50">
        <v>0</v>
      </c>
      <c r="DK87" s="50">
        <v>0</v>
      </c>
      <c r="DL87" s="50">
        <v>0</v>
      </c>
      <c r="DM87" s="50">
        <v>0</v>
      </c>
      <c r="DN87" s="470"/>
      <c r="DO87" s="50">
        <v>0</v>
      </c>
      <c r="DP87" s="50">
        <v>0</v>
      </c>
      <c r="DQ87" s="50">
        <v>186.07500000000164</v>
      </c>
      <c r="DR87" s="50">
        <v>632.399999999996</v>
      </c>
      <c r="DS87" s="470"/>
      <c r="DT87" s="50">
        <v>0</v>
      </c>
      <c r="DU87" s="50">
        <v>0</v>
      </c>
      <c r="DV87" s="50">
        <v>442.57500000000027</v>
      </c>
      <c r="DW87" s="50">
        <v>486.39999999999964</v>
      </c>
      <c r="DX87" s="470"/>
      <c r="DY87" s="50">
        <v>0</v>
      </c>
      <c r="DZ87" s="50">
        <v>0</v>
      </c>
      <c r="EA87" s="50">
        <v>2406.9749999999954</v>
      </c>
      <c r="EB87" s="50">
        <v>4352.8999999999705</v>
      </c>
      <c r="EC87" s="470"/>
      <c r="ED87" s="50">
        <v>0</v>
      </c>
      <c r="EE87" s="50">
        <v>0</v>
      </c>
      <c r="EF87" s="50">
        <v>0</v>
      </c>
      <c r="EG87" s="50">
        <v>0</v>
      </c>
      <c r="EH87" s="470"/>
      <c r="EI87" s="50">
        <v>0</v>
      </c>
      <c r="EJ87" s="50">
        <v>0</v>
      </c>
      <c r="EK87" s="50">
        <v>151.12499999999454</v>
      </c>
      <c r="EL87" s="50">
        <v>401.80000000000655</v>
      </c>
      <c r="EM87" s="470"/>
      <c r="EN87" s="50">
        <v>0</v>
      </c>
      <c r="EO87" s="50">
        <v>0</v>
      </c>
      <c r="EP87" s="50">
        <v>95.099999999991269</v>
      </c>
      <c r="EQ87" s="50">
        <v>127.80000000000291</v>
      </c>
      <c r="ER87" s="470"/>
      <c r="ES87" s="50">
        <v>0</v>
      </c>
      <c r="ET87" s="50">
        <v>0</v>
      </c>
      <c r="EU87" s="50">
        <v>153.89999999998963</v>
      </c>
      <c r="EV87" s="50">
        <v>0</v>
      </c>
      <c r="EW87" s="470"/>
      <c r="EX87" s="50">
        <v>0</v>
      </c>
      <c r="EY87" s="50">
        <v>0</v>
      </c>
      <c r="EZ87" s="50">
        <v>0</v>
      </c>
      <c r="FA87" s="50">
        <v>143.60000000000946</v>
      </c>
      <c r="FB87" s="470"/>
      <c r="FC87" s="50">
        <v>0</v>
      </c>
      <c r="FD87" s="50">
        <v>0</v>
      </c>
      <c r="FE87" s="50">
        <v>1941.6750000000311</v>
      </c>
      <c r="FF87" s="50">
        <v>3930.4000000000005</v>
      </c>
      <c r="FG87" s="470"/>
      <c r="FH87" s="50">
        <v>0</v>
      </c>
      <c r="FI87" s="50">
        <v>0</v>
      </c>
      <c r="FJ87" s="50">
        <v>112.49999999999454</v>
      </c>
      <c r="FK87" s="50">
        <v>156.00000000000364</v>
      </c>
      <c r="FL87" s="470"/>
      <c r="FM87" s="50">
        <v>0</v>
      </c>
      <c r="FN87" s="50">
        <v>0</v>
      </c>
      <c r="FO87" s="50">
        <v>0</v>
      </c>
      <c r="FP87" s="50">
        <v>100.50000000000364</v>
      </c>
      <c r="FQ87" s="470"/>
      <c r="FR87" s="50">
        <v>0</v>
      </c>
      <c r="FS87" s="50">
        <v>0</v>
      </c>
      <c r="FT87" s="50">
        <v>0</v>
      </c>
      <c r="FU87" s="50">
        <v>333.10000000000218</v>
      </c>
      <c r="FV87" s="470"/>
      <c r="FW87" s="50">
        <v>0</v>
      </c>
      <c r="FX87" s="50">
        <v>0</v>
      </c>
      <c r="FY87" s="50">
        <v>0</v>
      </c>
      <c r="FZ87" s="50">
        <v>0</v>
      </c>
      <c r="GA87" s="470"/>
      <c r="GB87" s="50">
        <v>0</v>
      </c>
      <c r="GC87" s="50">
        <v>0</v>
      </c>
      <c r="GD87" s="50">
        <v>446.09999999999945</v>
      </c>
      <c r="GE87" s="50">
        <v>532.39999999999418</v>
      </c>
      <c r="GF87" s="470"/>
      <c r="GG87" s="50">
        <v>0</v>
      </c>
      <c r="GH87" s="50">
        <v>0</v>
      </c>
      <c r="GI87" s="50">
        <v>0</v>
      </c>
      <c r="GJ87" s="50">
        <v>0</v>
      </c>
      <c r="GK87" s="470"/>
      <c r="GL87" s="50">
        <v>0</v>
      </c>
      <c r="GM87" s="50">
        <v>0</v>
      </c>
      <c r="GN87" s="50">
        <v>805.50000000000273</v>
      </c>
      <c r="GO87" s="50">
        <v>624.69999999998981</v>
      </c>
      <c r="GP87" s="470"/>
      <c r="GQ87" s="50">
        <v>0</v>
      </c>
      <c r="GR87" s="50">
        <v>0</v>
      </c>
      <c r="GS87" s="50">
        <v>164.625</v>
      </c>
      <c r="GT87" s="50">
        <v>231</v>
      </c>
      <c r="GU87" s="470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3407</v>
      </c>
      <c r="B88" s="46">
        <f t="shared" si="2"/>
        <v>6522.2500000000009</v>
      </c>
      <c r="C88" s="42"/>
      <c r="D88" s="50">
        <v>0</v>
      </c>
      <c r="E88" s="495">
        <v>0</v>
      </c>
      <c r="F88" s="50">
        <v>0</v>
      </c>
      <c r="G88" s="50">
        <f>'Punten per wedstrijd'!E191</f>
        <v>256.89999999999998</v>
      </c>
      <c r="H88" s="470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0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0"/>
      <c r="S88" s="458">
        <v>0</v>
      </c>
      <c r="T88" s="50">
        <v>0</v>
      </c>
      <c r="U88" s="508">
        <v>0</v>
      </c>
      <c r="V88" s="50">
        <f>'Punten per wedstrijd'!F87</f>
        <v>430.69999999999982</v>
      </c>
      <c r="W88" s="470"/>
      <c r="X88" s="50">
        <v>0</v>
      </c>
      <c r="Y88" s="50">
        <v>0</v>
      </c>
      <c r="Z88" s="50">
        <v>0</v>
      </c>
      <c r="AA88" s="50">
        <v>378.20000000000027</v>
      </c>
      <c r="AB88" s="470"/>
      <c r="AC88" s="50">
        <v>0</v>
      </c>
      <c r="AD88" s="50">
        <v>0</v>
      </c>
      <c r="AE88" s="50">
        <v>0</v>
      </c>
      <c r="AF88" s="50">
        <v>756.20000000000073</v>
      </c>
      <c r="AG88" s="470"/>
      <c r="AH88" s="50">
        <v>0</v>
      </c>
      <c r="AI88" s="50">
        <v>0</v>
      </c>
      <c r="AJ88" s="50">
        <v>0</v>
      </c>
      <c r="AK88" s="50">
        <v>517.05000000000018</v>
      </c>
      <c r="AL88" s="470"/>
      <c r="AM88" s="458">
        <v>0</v>
      </c>
      <c r="AN88" s="458">
        <v>0</v>
      </c>
      <c r="AO88" s="458">
        <v>0</v>
      </c>
      <c r="AP88" s="50">
        <v>690.55000000000018</v>
      </c>
      <c r="AQ88" s="470"/>
      <c r="AR88" s="50">
        <v>0</v>
      </c>
      <c r="AS88" s="50">
        <v>0</v>
      </c>
      <c r="AT88" s="50">
        <v>0</v>
      </c>
      <c r="AU88" s="50">
        <v>398.3</v>
      </c>
      <c r="AV88" s="470"/>
      <c r="AW88" s="50">
        <v>0</v>
      </c>
      <c r="AX88" s="50">
        <v>0</v>
      </c>
      <c r="AY88" s="50">
        <v>0</v>
      </c>
      <c r="AZ88" s="50">
        <v>353.09999999999945</v>
      </c>
      <c r="BA88" s="470"/>
      <c r="BB88" s="495">
        <v>0</v>
      </c>
      <c r="BC88" s="50">
        <v>0</v>
      </c>
      <c r="BD88" s="50">
        <v>0</v>
      </c>
      <c r="BE88" s="50">
        <v>621.79999999999995</v>
      </c>
      <c r="BF88" s="470"/>
      <c r="BG88" s="50">
        <v>0</v>
      </c>
      <c r="BH88" s="50">
        <v>0</v>
      </c>
      <c r="BI88" s="50">
        <v>0</v>
      </c>
      <c r="BJ88" s="50">
        <v>454.7</v>
      </c>
      <c r="BK88" s="470"/>
      <c r="BL88" s="50">
        <v>0</v>
      </c>
      <c r="BM88" s="50">
        <v>0</v>
      </c>
      <c r="BN88" s="50">
        <v>0</v>
      </c>
      <c r="BO88" s="518">
        <v>450.6</v>
      </c>
      <c r="BP88" s="470"/>
      <c r="BQ88" s="50">
        <v>0</v>
      </c>
      <c r="BR88" s="50">
        <v>0</v>
      </c>
      <c r="BS88" s="50">
        <v>0</v>
      </c>
      <c r="BT88" s="518">
        <v>734.55000000000018</v>
      </c>
      <c r="BU88" s="470"/>
      <c r="BV88" s="50"/>
      <c r="BW88" s="50"/>
      <c r="BX88" s="50"/>
      <c r="BY88" s="50"/>
      <c r="BZ88" s="470"/>
      <c r="CA88" s="50"/>
      <c r="CB88" s="50"/>
      <c r="CC88" s="50"/>
      <c r="CD88" s="50"/>
      <c r="CE88" s="470"/>
      <c r="CF88" s="50"/>
      <c r="CG88" s="50"/>
      <c r="CH88" s="50"/>
      <c r="CI88" s="50"/>
      <c r="CJ88" s="470"/>
      <c r="CK88" s="50"/>
      <c r="CL88" s="50"/>
      <c r="CM88" s="50"/>
      <c r="CN88" s="50"/>
      <c r="CO88" s="470"/>
      <c r="CP88" s="50"/>
      <c r="CQ88" s="50"/>
      <c r="CR88" s="50"/>
      <c r="CS88" s="50"/>
      <c r="CT88" s="470"/>
      <c r="CU88" s="50"/>
      <c r="CV88" s="50"/>
      <c r="CW88" s="50"/>
      <c r="CX88" s="50"/>
      <c r="CY88" s="470"/>
      <c r="CZ88" s="50"/>
      <c r="DA88" s="50"/>
      <c r="DB88" s="50"/>
      <c r="DC88" s="50"/>
      <c r="DD88" s="470"/>
      <c r="DE88" s="50"/>
      <c r="DF88" s="50"/>
      <c r="DG88" s="50"/>
      <c r="DH88" s="50"/>
      <c r="DI88" s="470"/>
      <c r="DJ88" s="50"/>
      <c r="DK88" s="50"/>
      <c r="DL88" s="50"/>
      <c r="DM88" s="50"/>
      <c r="DN88" s="470"/>
      <c r="DO88" s="50"/>
      <c r="DP88" s="50"/>
      <c r="DQ88" s="50"/>
      <c r="DR88" s="50"/>
      <c r="DS88" s="470"/>
      <c r="DT88" s="50"/>
      <c r="DU88" s="50"/>
      <c r="DV88" s="50"/>
      <c r="DW88" s="50"/>
      <c r="DX88" s="470"/>
      <c r="DY88" s="50"/>
      <c r="DZ88" s="50"/>
      <c r="EA88" s="50"/>
      <c r="EB88" s="50"/>
      <c r="EC88" s="470"/>
      <c r="ED88" s="50"/>
      <c r="EE88" s="50"/>
      <c r="EF88" s="50"/>
      <c r="EG88" s="50"/>
      <c r="EH88" s="470"/>
      <c r="EI88" s="50"/>
      <c r="EJ88" s="50"/>
      <c r="EK88" s="50"/>
      <c r="EL88" s="50"/>
      <c r="EM88" s="470"/>
      <c r="EN88" s="50"/>
      <c r="EO88" s="50"/>
      <c r="EP88" s="50"/>
      <c r="EQ88" s="50"/>
      <c r="ER88" s="470"/>
      <c r="ES88" s="50"/>
      <c r="ET88" s="50"/>
      <c r="EU88" s="50"/>
      <c r="EV88" s="50"/>
      <c r="EW88" s="470"/>
      <c r="EX88" s="50"/>
      <c r="EY88" s="50"/>
      <c r="EZ88" s="50"/>
      <c r="FA88" s="50"/>
      <c r="FB88" s="470"/>
      <c r="FC88" s="50"/>
      <c r="FD88" s="50"/>
      <c r="FE88" s="50"/>
      <c r="FF88" s="50"/>
      <c r="FG88" s="470"/>
      <c r="FH88" s="50"/>
      <c r="FI88" s="50"/>
      <c r="FJ88" s="50"/>
      <c r="FK88" s="50"/>
      <c r="FL88" s="470"/>
      <c r="FM88" s="50"/>
      <c r="FN88" s="50"/>
      <c r="FO88" s="50"/>
      <c r="FP88" s="50"/>
      <c r="FQ88" s="470"/>
      <c r="FR88" s="50"/>
      <c r="FS88" s="50"/>
      <c r="FT88" s="50"/>
      <c r="FU88" s="50"/>
      <c r="FV88" s="470"/>
      <c r="FW88" s="50"/>
      <c r="FX88" s="50"/>
      <c r="FY88" s="50"/>
      <c r="FZ88" s="50"/>
      <c r="GA88" s="470"/>
      <c r="GB88" s="50"/>
      <c r="GC88" s="50"/>
      <c r="GD88" s="50"/>
      <c r="GE88" s="50"/>
      <c r="GF88" s="470"/>
      <c r="GG88" s="50"/>
      <c r="GH88" s="50"/>
      <c r="GI88" s="50"/>
      <c r="GJ88" s="50"/>
      <c r="GK88" s="470"/>
      <c r="GL88" s="50"/>
      <c r="GM88" s="50"/>
      <c r="GN88" s="50"/>
      <c r="GO88" s="50"/>
      <c r="GP88" s="470"/>
      <c r="GQ88" s="50"/>
      <c r="GR88" s="50"/>
      <c r="GS88" s="50"/>
      <c r="GT88" s="50"/>
      <c r="GU88" s="470"/>
      <c r="GZ88" s="21"/>
      <c r="HA88" s="37"/>
      <c r="HI88" s="463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57960.799999999857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0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0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0"/>
      <c r="S89" s="458">
        <v>31.875</v>
      </c>
      <c r="T89" s="50">
        <v>108.89999999999998</v>
      </c>
      <c r="U89" s="508">
        <v>144</v>
      </c>
      <c r="V89" s="50">
        <f>'Punten per wedstrijd'!F88</f>
        <v>222.79999999999973</v>
      </c>
      <c r="W89" s="470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0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70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0"/>
      <c r="AM89" s="458">
        <v>108.64999999999998</v>
      </c>
      <c r="AN89" s="458">
        <v>232.19999999999936</v>
      </c>
      <c r="AO89" s="458">
        <v>318</v>
      </c>
      <c r="AP89" s="50">
        <v>525.99999999999727</v>
      </c>
      <c r="AQ89" s="470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70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70"/>
      <c r="BB89" s="50">
        <v>0</v>
      </c>
      <c r="BC89" s="50">
        <v>136.89999999999964</v>
      </c>
      <c r="BD89" s="50">
        <v>173.17499999999973</v>
      </c>
      <c r="BE89" s="50">
        <v>400</v>
      </c>
      <c r="BF89" s="470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70"/>
      <c r="BL89" s="50">
        <v>0</v>
      </c>
      <c r="BM89" s="50">
        <v>31.999999999999091</v>
      </c>
      <c r="BN89" s="50">
        <v>147.67500000000109</v>
      </c>
      <c r="BO89" s="518">
        <v>195.5</v>
      </c>
      <c r="BP89" s="470"/>
      <c r="BQ89" s="50">
        <v>14.900000000000091</v>
      </c>
      <c r="BR89" s="50">
        <v>109.04999999999882</v>
      </c>
      <c r="BS89" s="50">
        <v>175.50000000000068</v>
      </c>
      <c r="BT89" s="518">
        <v>349.99999999999909</v>
      </c>
      <c r="BU89" s="470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0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0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0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0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0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0"/>
      <c r="CZ89" s="50">
        <v>0</v>
      </c>
      <c r="DA89" s="50">
        <v>0</v>
      </c>
      <c r="DB89" s="50">
        <v>58.499999999997272</v>
      </c>
      <c r="DC89" s="50">
        <v>230.70000000000073</v>
      </c>
      <c r="DD89" s="470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0"/>
      <c r="DJ89" s="50">
        <v>130.89999999999827</v>
      </c>
      <c r="DK89" s="50">
        <v>0</v>
      </c>
      <c r="DL89" s="50">
        <v>0</v>
      </c>
      <c r="DM89" s="50">
        <v>0</v>
      </c>
      <c r="DN89" s="470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0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0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0"/>
      <c r="ED89" s="50">
        <v>0</v>
      </c>
      <c r="EE89" s="50">
        <v>0</v>
      </c>
      <c r="EF89" s="50">
        <v>0</v>
      </c>
      <c r="EG89" s="50">
        <v>0</v>
      </c>
      <c r="EH89" s="470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0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0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0"/>
      <c r="EX89" s="50">
        <v>50.874999999999091</v>
      </c>
      <c r="EY89" s="50">
        <v>0</v>
      </c>
      <c r="EZ89" s="50">
        <v>0</v>
      </c>
      <c r="FA89" s="50">
        <v>290.70000000000437</v>
      </c>
      <c r="FB89" s="470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0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0"/>
      <c r="FM89" s="50">
        <v>92.274999999998727</v>
      </c>
      <c r="FN89" s="50">
        <v>0</v>
      </c>
      <c r="FO89" s="50">
        <v>0</v>
      </c>
      <c r="FP89" s="50">
        <v>234.00000000000364</v>
      </c>
      <c r="FQ89" s="470"/>
      <c r="FR89" s="50">
        <v>35.749999999999091</v>
      </c>
      <c r="FS89" s="50">
        <v>0</v>
      </c>
      <c r="FT89" s="50">
        <v>0</v>
      </c>
      <c r="FU89" s="50">
        <v>566.50000000000364</v>
      </c>
      <c r="FV89" s="470"/>
      <c r="FW89" s="50">
        <v>37.600000000000364</v>
      </c>
      <c r="FX89" s="50">
        <v>0</v>
      </c>
      <c r="FY89" s="50">
        <v>0</v>
      </c>
      <c r="FZ89" s="50">
        <v>0</v>
      </c>
      <c r="GA89" s="470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0"/>
      <c r="GG89" s="50">
        <v>125.52499999999782</v>
      </c>
      <c r="GH89" s="50">
        <v>0</v>
      </c>
      <c r="GI89" s="50">
        <v>0</v>
      </c>
      <c r="GJ89" s="50">
        <v>0</v>
      </c>
      <c r="GK89" s="470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0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0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49609.724999999591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0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0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0"/>
      <c r="S90" s="458">
        <v>102.62499999999983</v>
      </c>
      <c r="T90" s="50">
        <v>147.19999999999993</v>
      </c>
      <c r="U90" s="508">
        <v>230.10000000000014</v>
      </c>
      <c r="V90" s="50">
        <f>'Punten per wedstrijd'!F89</f>
        <v>421.59999999999968</v>
      </c>
      <c r="W90" s="470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0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70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0"/>
      <c r="AM90" s="458">
        <v>156.59999999999968</v>
      </c>
      <c r="AN90" s="458">
        <v>296.10000000000036</v>
      </c>
      <c r="AO90" s="458">
        <v>246.97500000000014</v>
      </c>
      <c r="AP90" s="50">
        <v>489.00000000000182</v>
      </c>
      <c r="AQ90" s="470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70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70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70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70"/>
      <c r="BL90" s="50">
        <v>0</v>
      </c>
      <c r="BM90" s="50">
        <v>37.300000000000182</v>
      </c>
      <c r="BN90" s="50">
        <v>157.27499999999918</v>
      </c>
      <c r="BO90" s="518">
        <v>201.5</v>
      </c>
      <c r="BP90" s="470"/>
      <c r="BQ90" s="50">
        <v>99.875000000000455</v>
      </c>
      <c r="BR90" s="50">
        <v>262.14999999999964</v>
      </c>
      <c r="BS90" s="50">
        <v>162.37499999999932</v>
      </c>
      <c r="BT90" s="518">
        <v>345.80000000000109</v>
      </c>
      <c r="BU90" s="470"/>
      <c r="BV90" s="50">
        <v>87.974999999999227</v>
      </c>
      <c r="BW90" s="50">
        <v>0</v>
      </c>
      <c r="BX90" s="50">
        <v>518.62499999999932</v>
      </c>
      <c r="BY90" s="50">
        <v>815</v>
      </c>
      <c r="BZ90" s="470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0"/>
      <c r="CF90" s="50">
        <v>99.950000000000273</v>
      </c>
      <c r="CG90" s="50">
        <v>0</v>
      </c>
      <c r="CH90" s="50">
        <v>266.92499999999905</v>
      </c>
      <c r="CI90" s="50">
        <v>152</v>
      </c>
      <c r="CJ90" s="470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0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0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0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0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0"/>
      <c r="DJ90" s="50">
        <v>135.38749999999845</v>
      </c>
      <c r="DK90" s="50">
        <v>0</v>
      </c>
      <c r="DL90" s="50">
        <v>0</v>
      </c>
      <c r="DM90" s="50">
        <v>0</v>
      </c>
      <c r="DN90" s="470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0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0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0"/>
      <c r="ED90" s="50">
        <v>104.49999999999909</v>
      </c>
      <c r="EE90" s="50">
        <v>0</v>
      </c>
      <c r="EF90" s="50">
        <v>0</v>
      </c>
      <c r="EG90" s="50">
        <v>0</v>
      </c>
      <c r="EH90" s="470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0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0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0"/>
      <c r="EX90" s="50">
        <v>122.36250000000018</v>
      </c>
      <c r="EY90" s="50">
        <v>0</v>
      </c>
      <c r="EZ90" s="50">
        <v>0</v>
      </c>
      <c r="FA90" s="50">
        <v>377.49999999998909</v>
      </c>
      <c r="FB90" s="470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0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0"/>
      <c r="FM90" s="50">
        <v>143.74999999999909</v>
      </c>
      <c r="FN90" s="50">
        <v>0</v>
      </c>
      <c r="FO90" s="50">
        <v>0</v>
      </c>
      <c r="FP90" s="50">
        <v>305.09999999998763</v>
      </c>
      <c r="FQ90" s="470"/>
      <c r="FR90" s="50">
        <v>61.387499999999818</v>
      </c>
      <c r="FS90" s="50">
        <v>0</v>
      </c>
      <c r="FT90" s="50">
        <v>0</v>
      </c>
      <c r="FU90" s="50">
        <v>356.69999999998618</v>
      </c>
      <c r="FV90" s="470"/>
      <c r="FW90" s="50">
        <v>67.324999999999363</v>
      </c>
      <c r="FX90" s="50">
        <v>0</v>
      </c>
      <c r="FY90" s="50">
        <v>0</v>
      </c>
      <c r="FZ90" s="50">
        <v>0</v>
      </c>
      <c r="GA90" s="470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0"/>
      <c r="GG90" s="50">
        <v>110.92499999999836</v>
      </c>
      <c r="GH90" s="50">
        <v>0</v>
      </c>
      <c r="GI90" s="50">
        <v>0</v>
      </c>
      <c r="GJ90" s="50">
        <v>0</v>
      </c>
      <c r="GK90" s="470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0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0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3391</v>
      </c>
      <c r="B91" s="46">
        <f t="shared" si="2"/>
        <v>6900.5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0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0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0"/>
      <c r="S91" s="458">
        <v>0</v>
      </c>
      <c r="T91" s="50">
        <v>0</v>
      </c>
      <c r="U91" s="508">
        <v>0</v>
      </c>
      <c r="V91" s="50">
        <f>'Punten per wedstrijd'!F90</f>
        <v>567.34999999999991</v>
      </c>
      <c r="W91" s="470"/>
      <c r="X91" s="50">
        <v>0</v>
      </c>
      <c r="Y91" s="50">
        <v>0</v>
      </c>
      <c r="Z91" s="50">
        <v>0</v>
      </c>
      <c r="AA91" s="50">
        <v>406.10000000000036</v>
      </c>
      <c r="AB91" s="470"/>
      <c r="AC91" s="50">
        <v>0</v>
      </c>
      <c r="AD91" s="50">
        <v>0</v>
      </c>
      <c r="AE91" s="50">
        <v>0</v>
      </c>
      <c r="AF91" s="50">
        <v>523.80000000000018</v>
      </c>
      <c r="AG91" s="470"/>
      <c r="AH91" s="50">
        <v>0</v>
      </c>
      <c r="AI91" s="50">
        <v>0</v>
      </c>
      <c r="AJ91" s="50">
        <v>0</v>
      </c>
      <c r="AK91" s="50">
        <v>347.5</v>
      </c>
      <c r="AL91" s="470"/>
      <c r="AM91" s="458">
        <v>0</v>
      </c>
      <c r="AN91" s="458">
        <v>0</v>
      </c>
      <c r="AO91" s="458">
        <v>0</v>
      </c>
      <c r="AP91" s="50">
        <v>831.34999999999945</v>
      </c>
      <c r="AQ91" s="470"/>
      <c r="AR91" s="50">
        <v>0</v>
      </c>
      <c r="AS91" s="50">
        <v>0</v>
      </c>
      <c r="AT91" s="50">
        <v>0</v>
      </c>
      <c r="AU91" s="50">
        <v>240.3</v>
      </c>
      <c r="AV91" s="470"/>
      <c r="AW91" s="50">
        <v>0</v>
      </c>
      <c r="AX91" s="50">
        <v>0</v>
      </c>
      <c r="AY91" s="50">
        <v>0</v>
      </c>
      <c r="AZ91" s="50">
        <v>611.29999999999927</v>
      </c>
      <c r="BA91" s="470"/>
      <c r="BB91" s="50">
        <v>0</v>
      </c>
      <c r="BC91" s="50">
        <v>0</v>
      </c>
      <c r="BD91" s="50">
        <v>0</v>
      </c>
      <c r="BE91" s="50">
        <v>742.89999999999986</v>
      </c>
      <c r="BF91" s="470"/>
      <c r="BG91" s="50">
        <v>0</v>
      </c>
      <c r="BH91" s="50">
        <v>0</v>
      </c>
      <c r="BI91" s="50">
        <v>0</v>
      </c>
      <c r="BJ91" s="50">
        <v>424.90000000000003</v>
      </c>
      <c r="BK91" s="470"/>
      <c r="BL91" s="50">
        <v>0</v>
      </c>
      <c r="BM91" s="50">
        <v>0</v>
      </c>
      <c r="BN91" s="50">
        <v>0</v>
      </c>
      <c r="BO91" s="518">
        <v>538.4</v>
      </c>
      <c r="BP91" s="470"/>
      <c r="BQ91" s="50">
        <v>0</v>
      </c>
      <c r="BR91" s="50">
        <v>0</v>
      </c>
      <c r="BS91" s="50">
        <v>0</v>
      </c>
      <c r="BT91" s="518">
        <v>806.50000000000091</v>
      </c>
      <c r="BU91" s="470"/>
      <c r="BV91" s="50"/>
      <c r="BW91" s="50"/>
      <c r="BX91" s="50"/>
      <c r="BY91" s="50"/>
      <c r="BZ91" s="470"/>
      <c r="CA91" s="50"/>
      <c r="CB91" s="50"/>
      <c r="CC91" s="50"/>
      <c r="CD91" s="50"/>
      <c r="CE91" s="470"/>
      <c r="CF91" s="50"/>
      <c r="CG91" s="50"/>
      <c r="CH91" s="50"/>
      <c r="CI91" s="50"/>
      <c r="CJ91" s="470"/>
      <c r="CK91" s="50"/>
      <c r="CL91" s="50"/>
      <c r="CM91" s="50"/>
      <c r="CN91" s="50"/>
      <c r="CO91" s="470"/>
      <c r="CP91" s="50"/>
      <c r="CQ91" s="50"/>
      <c r="CR91" s="50"/>
      <c r="CS91" s="50"/>
      <c r="CT91" s="470"/>
      <c r="CU91" s="50"/>
      <c r="CV91" s="50"/>
      <c r="CW91" s="50"/>
      <c r="CX91" s="50"/>
      <c r="CY91" s="470"/>
      <c r="CZ91" s="50"/>
      <c r="DA91" s="50"/>
      <c r="DB91" s="50"/>
      <c r="DC91" s="50"/>
      <c r="DD91" s="470"/>
      <c r="DE91" s="50"/>
      <c r="DF91" s="50"/>
      <c r="DG91" s="50"/>
      <c r="DH91" s="50"/>
      <c r="DI91" s="470"/>
      <c r="DJ91" s="50"/>
      <c r="DK91" s="50"/>
      <c r="DL91" s="50"/>
      <c r="DM91" s="50"/>
      <c r="DN91" s="470"/>
      <c r="DO91" s="50"/>
      <c r="DP91" s="50"/>
      <c r="DQ91" s="50"/>
      <c r="DR91" s="50"/>
      <c r="DS91" s="470"/>
      <c r="DT91" s="50"/>
      <c r="DU91" s="50"/>
      <c r="DV91" s="50"/>
      <c r="DW91" s="50"/>
      <c r="DX91" s="470"/>
      <c r="DY91" s="50"/>
      <c r="DZ91" s="50"/>
      <c r="EA91" s="50"/>
      <c r="EB91" s="50"/>
      <c r="EC91" s="470"/>
      <c r="ED91" s="50"/>
      <c r="EE91" s="50"/>
      <c r="EF91" s="50"/>
      <c r="EG91" s="50"/>
      <c r="EH91" s="470"/>
      <c r="EI91" s="50"/>
      <c r="EJ91" s="50"/>
      <c r="EK91" s="50"/>
      <c r="EL91" s="50"/>
      <c r="EM91" s="470"/>
      <c r="EN91" s="50"/>
      <c r="EO91" s="50"/>
      <c r="EP91" s="50"/>
      <c r="EQ91" s="50"/>
      <c r="ER91" s="470"/>
      <c r="ES91" s="50"/>
      <c r="ET91" s="50"/>
      <c r="EU91" s="50"/>
      <c r="EV91" s="50"/>
      <c r="EW91" s="470"/>
      <c r="EX91" s="50"/>
      <c r="EY91" s="50"/>
      <c r="EZ91" s="50"/>
      <c r="FA91" s="50"/>
      <c r="FB91" s="470"/>
      <c r="FC91" s="50"/>
      <c r="FD91" s="50"/>
      <c r="FE91" s="50"/>
      <c r="FF91" s="50"/>
      <c r="FG91" s="470"/>
      <c r="FH91" s="50"/>
      <c r="FI91" s="50"/>
      <c r="FJ91" s="50"/>
      <c r="FK91" s="50"/>
      <c r="FL91" s="470"/>
      <c r="FM91" s="50"/>
      <c r="FN91" s="50"/>
      <c r="FO91" s="50"/>
      <c r="FP91" s="50"/>
      <c r="FQ91" s="470"/>
      <c r="FR91" s="50"/>
      <c r="FS91" s="50"/>
      <c r="FT91" s="50"/>
      <c r="FU91" s="50"/>
      <c r="FV91" s="470"/>
      <c r="FW91" s="50"/>
      <c r="FX91" s="50"/>
      <c r="FY91" s="50"/>
      <c r="FZ91" s="50"/>
      <c r="GA91" s="470"/>
      <c r="GB91" s="50"/>
      <c r="GC91" s="50"/>
      <c r="GD91" s="50"/>
      <c r="GE91" s="50"/>
      <c r="GF91" s="470"/>
      <c r="GG91" s="50"/>
      <c r="GH91" s="50"/>
      <c r="GI91" s="50"/>
      <c r="GJ91" s="50"/>
      <c r="GK91" s="470"/>
      <c r="GL91" s="50"/>
      <c r="GM91" s="50"/>
      <c r="GN91" s="50"/>
      <c r="GO91" s="50"/>
      <c r="GP91" s="470"/>
      <c r="GQ91" s="50"/>
      <c r="GR91" s="50"/>
      <c r="GS91" s="50"/>
      <c r="GT91" s="50"/>
      <c r="GU91" s="470"/>
      <c r="GZ91" s="143"/>
      <c r="HA91" s="464"/>
      <c r="HI91" s="143"/>
      <c r="HJ91" s="464"/>
      <c r="HR91" s="143"/>
      <c r="HS91" s="464"/>
      <c r="IB91" s="464"/>
      <c r="IK91" s="464"/>
      <c r="IT91" s="464"/>
      <c r="JC91" s="464"/>
      <c r="JL91" s="464"/>
      <c r="JU91" s="464"/>
      <c r="KD91" s="464"/>
      <c r="KM91" s="464"/>
      <c r="KV91" s="464"/>
      <c r="LE91" s="464"/>
      <c r="MF91" s="464"/>
      <c r="MO91" s="464"/>
      <c r="MX91" s="464"/>
      <c r="NG91" s="464"/>
      <c r="NP91" s="464"/>
      <c r="NY91" s="464"/>
      <c r="OE91" s="37"/>
    </row>
    <row r="92" spans="1:396" ht="18">
      <c r="A92" s="41" t="s">
        <v>755</v>
      </c>
      <c r="B92" s="46">
        <f t="shared" si="2"/>
        <v>44573.899999999987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0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0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0"/>
      <c r="S92" s="458">
        <v>15.750000000000114</v>
      </c>
      <c r="T92" s="50">
        <v>60.000000000000114</v>
      </c>
      <c r="U92" s="508">
        <v>118.65000000000038</v>
      </c>
      <c r="V92" s="50">
        <f>'Punten per wedstrijd'!F91</f>
        <v>201.50000000000068</v>
      </c>
      <c r="W92" s="470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0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70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0"/>
      <c r="AM92" s="458">
        <v>84.799999999999955</v>
      </c>
      <c r="AN92" s="458">
        <v>178.75000000000045</v>
      </c>
      <c r="AO92" s="458">
        <v>226.01249999999993</v>
      </c>
      <c r="AP92" s="50">
        <v>485.90000000000009</v>
      </c>
      <c r="AQ92" s="470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70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70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70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70"/>
      <c r="BL92" s="50">
        <v>0</v>
      </c>
      <c r="BM92" s="50">
        <v>5.8000000000001819</v>
      </c>
      <c r="BN92" s="50">
        <v>135.11250000000041</v>
      </c>
      <c r="BO92" s="518">
        <v>138.1</v>
      </c>
      <c r="BP92" s="470"/>
      <c r="BQ92" s="50">
        <v>51.999999999999091</v>
      </c>
      <c r="BR92" s="50">
        <v>123.25</v>
      </c>
      <c r="BS92" s="50">
        <v>276.93750000000068</v>
      </c>
      <c r="BT92" s="518">
        <v>435</v>
      </c>
      <c r="BU92" s="470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0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0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0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0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0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0"/>
      <c r="CZ92" s="50">
        <v>83.625</v>
      </c>
      <c r="DA92" s="50">
        <v>0</v>
      </c>
      <c r="DB92" s="50">
        <v>214.875</v>
      </c>
      <c r="DC92" s="50">
        <v>350.19999999999891</v>
      </c>
      <c r="DD92" s="470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0"/>
      <c r="DJ92" s="50">
        <v>24.0750000000005</v>
      </c>
      <c r="DK92" s="50">
        <v>0</v>
      </c>
      <c r="DL92" s="50">
        <v>0</v>
      </c>
      <c r="DM92" s="50">
        <v>0</v>
      </c>
      <c r="DN92" s="470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0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0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0"/>
      <c r="ED92" s="50">
        <v>66.000000000000455</v>
      </c>
      <c r="EE92" s="50">
        <v>0</v>
      </c>
      <c r="EF92" s="50">
        <v>0</v>
      </c>
      <c r="EG92" s="50">
        <v>0</v>
      </c>
      <c r="EH92" s="470"/>
      <c r="EI92" s="50">
        <v>49.162500000000364</v>
      </c>
      <c r="EJ92" s="50">
        <v>0</v>
      </c>
      <c r="EK92" s="50">
        <v>123.67499999999973</v>
      </c>
      <c r="EL92" s="50">
        <v>393</v>
      </c>
      <c r="EM92" s="470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0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0"/>
      <c r="EX92" s="50">
        <v>70.249999999999091</v>
      </c>
      <c r="EY92" s="50">
        <v>0</v>
      </c>
      <c r="EZ92" s="50">
        <v>0</v>
      </c>
      <c r="FA92" s="50">
        <v>300.99999999999636</v>
      </c>
      <c r="FB92" s="470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0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0"/>
      <c r="FM92" s="50">
        <v>27.887499999999818</v>
      </c>
      <c r="FN92" s="50">
        <v>0</v>
      </c>
      <c r="FO92" s="50">
        <v>0</v>
      </c>
      <c r="FP92" s="50">
        <v>160.79999999999927</v>
      </c>
      <c r="FQ92" s="470"/>
      <c r="FR92" s="50">
        <v>55.112500000001091</v>
      </c>
      <c r="FS92" s="50">
        <v>0</v>
      </c>
      <c r="FT92" s="50">
        <v>0</v>
      </c>
      <c r="FU92" s="50">
        <v>418</v>
      </c>
      <c r="FV92" s="470"/>
      <c r="FW92" s="50">
        <v>94.175000000000409</v>
      </c>
      <c r="FX92" s="50">
        <v>0</v>
      </c>
      <c r="FY92" s="50">
        <v>0</v>
      </c>
      <c r="FZ92" s="50">
        <v>0</v>
      </c>
      <c r="GA92" s="470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0"/>
      <c r="GG92" s="50">
        <v>12.675000000001091</v>
      </c>
      <c r="GH92" s="50">
        <v>0</v>
      </c>
      <c r="GI92" s="50">
        <v>0</v>
      </c>
      <c r="GJ92" s="50">
        <v>0</v>
      </c>
      <c r="GK92" s="470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0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0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44193.500000000211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0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0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0"/>
      <c r="S93" s="458">
        <v>91.549999999999898</v>
      </c>
      <c r="T93" s="50">
        <v>55.100000000000023</v>
      </c>
      <c r="U93" s="508">
        <v>226.80000000000015</v>
      </c>
      <c r="V93" s="50">
        <f>'Punten per wedstrijd'!F92</f>
        <v>163.50000000000045</v>
      </c>
      <c r="W93" s="470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0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70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0"/>
      <c r="AM93" s="458">
        <v>113.9000000000002</v>
      </c>
      <c r="AN93" s="458">
        <v>274.80000000000018</v>
      </c>
      <c r="AO93" s="458">
        <v>193.31250000000034</v>
      </c>
      <c r="AP93" s="50">
        <v>667.10000000000082</v>
      </c>
      <c r="AQ93" s="470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70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70"/>
      <c r="BB93" s="50">
        <v>0</v>
      </c>
      <c r="BC93" s="50">
        <v>285.79999999999973</v>
      </c>
      <c r="BD93" s="50">
        <v>351.37500000000068</v>
      </c>
      <c r="BE93" s="50">
        <v>464</v>
      </c>
      <c r="BF93" s="470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70"/>
      <c r="BL93" s="50">
        <v>0</v>
      </c>
      <c r="BM93" s="50">
        <v>141.15000000000009</v>
      </c>
      <c r="BN93" s="50">
        <v>197.43749999999864</v>
      </c>
      <c r="BO93" s="518">
        <v>128.4</v>
      </c>
      <c r="BP93" s="470"/>
      <c r="BQ93" s="50">
        <v>97.375</v>
      </c>
      <c r="BR93" s="50">
        <v>240.45000000000027</v>
      </c>
      <c r="BS93" s="50">
        <v>326.06249999999932</v>
      </c>
      <c r="BT93" s="518">
        <v>519.69999999999982</v>
      </c>
      <c r="BU93" s="470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0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0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0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0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0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0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0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0"/>
      <c r="DJ93" s="50">
        <v>26.224999999999909</v>
      </c>
      <c r="DK93" s="50">
        <v>0</v>
      </c>
      <c r="DL93" s="50">
        <v>0</v>
      </c>
      <c r="DM93" s="50">
        <v>0</v>
      </c>
      <c r="DN93" s="470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0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0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0"/>
      <c r="ED93" s="50">
        <v>52.724999999999</v>
      </c>
      <c r="EE93" s="50">
        <v>0</v>
      </c>
      <c r="EF93" s="50">
        <v>0</v>
      </c>
      <c r="EG93" s="50">
        <v>0</v>
      </c>
      <c r="EH93" s="470"/>
      <c r="EI93" s="50">
        <v>58.624999999999091</v>
      </c>
      <c r="EJ93" s="50">
        <v>0</v>
      </c>
      <c r="EK93" s="50">
        <v>114</v>
      </c>
      <c r="EL93" s="50">
        <v>250.29999999999745</v>
      </c>
      <c r="EM93" s="470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0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0"/>
      <c r="EX93" s="50">
        <v>74.625000000000909</v>
      </c>
      <c r="EY93" s="50">
        <v>0</v>
      </c>
      <c r="EZ93" s="50">
        <v>0</v>
      </c>
      <c r="FA93" s="50">
        <v>119.99999999999818</v>
      </c>
      <c r="FB93" s="470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0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0"/>
      <c r="FM93" s="50">
        <v>82.324999999999818</v>
      </c>
      <c r="FN93" s="50">
        <v>0</v>
      </c>
      <c r="FO93" s="50">
        <v>0</v>
      </c>
      <c r="FP93" s="50">
        <v>124.49999999999818</v>
      </c>
      <c r="FQ93" s="470"/>
      <c r="FR93" s="50">
        <v>31.75</v>
      </c>
      <c r="FS93" s="50">
        <v>0</v>
      </c>
      <c r="FT93" s="50">
        <v>0</v>
      </c>
      <c r="FU93" s="50">
        <v>360.90000000000146</v>
      </c>
      <c r="FV93" s="470"/>
      <c r="FW93" s="50">
        <v>96.450000000000273</v>
      </c>
      <c r="FX93" s="50">
        <v>0</v>
      </c>
      <c r="FY93" s="50">
        <v>0</v>
      </c>
      <c r="FZ93" s="50">
        <v>0</v>
      </c>
      <c r="GA93" s="470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0"/>
      <c r="GG93" s="50">
        <v>118.82500000000255</v>
      </c>
      <c r="GH93" s="50">
        <v>0</v>
      </c>
      <c r="GI93" s="50">
        <v>0</v>
      </c>
      <c r="GJ93" s="50">
        <v>0</v>
      </c>
      <c r="GK93" s="470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0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0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57320.537500000049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0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0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0"/>
      <c r="S94" s="458">
        <v>28.875</v>
      </c>
      <c r="T94" s="50">
        <v>183.24999999999989</v>
      </c>
      <c r="U94" s="508">
        <v>135.00000000000034</v>
      </c>
      <c r="V94" s="50">
        <f>'Punten per wedstrijd'!F93</f>
        <v>231.7999999999995</v>
      </c>
      <c r="W94" s="470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0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70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0"/>
      <c r="AM94" s="458">
        <v>125.85000000000002</v>
      </c>
      <c r="AN94" s="458">
        <v>275.95000000000073</v>
      </c>
      <c r="AO94" s="458">
        <v>188.40000000000123</v>
      </c>
      <c r="AP94" s="50">
        <v>479.00000000000182</v>
      </c>
      <c r="AQ94" s="470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70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70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70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70"/>
      <c r="BL94" s="50">
        <v>0</v>
      </c>
      <c r="BM94" s="50">
        <v>3.0000000000004547</v>
      </c>
      <c r="BN94" s="50">
        <v>134.99999999999932</v>
      </c>
      <c r="BO94" s="518">
        <v>111</v>
      </c>
      <c r="BP94" s="470"/>
      <c r="BQ94" s="50">
        <v>41.074999999998909</v>
      </c>
      <c r="BR94" s="50">
        <v>166.50000000000045</v>
      </c>
      <c r="BS94" s="50">
        <v>155.25</v>
      </c>
      <c r="BT94" s="518">
        <v>436.30000000000109</v>
      </c>
      <c r="BU94" s="470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0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0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0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0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0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0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0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0"/>
      <c r="DJ94" s="50">
        <v>89.325000000000728</v>
      </c>
      <c r="DK94" s="50">
        <v>0</v>
      </c>
      <c r="DL94" s="50">
        <v>0</v>
      </c>
      <c r="DM94" s="50">
        <v>0</v>
      </c>
      <c r="DN94" s="470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0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0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0"/>
      <c r="ED94" s="50">
        <v>0</v>
      </c>
      <c r="EE94" s="50">
        <v>0</v>
      </c>
      <c r="EF94" s="50">
        <v>0</v>
      </c>
      <c r="EG94" s="50">
        <v>0</v>
      </c>
      <c r="EH94" s="470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0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0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0"/>
      <c r="EX94" s="50">
        <v>39.749999999998181</v>
      </c>
      <c r="EY94" s="50">
        <v>0</v>
      </c>
      <c r="EZ94" s="50">
        <v>0</v>
      </c>
      <c r="FA94" s="50">
        <v>200.29999999999563</v>
      </c>
      <c r="FB94" s="470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0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0"/>
      <c r="FM94" s="50">
        <v>66.324999999999818</v>
      </c>
      <c r="FN94" s="50">
        <v>0</v>
      </c>
      <c r="FO94" s="50">
        <v>0</v>
      </c>
      <c r="FP94" s="50">
        <v>105.29999999999927</v>
      </c>
      <c r="FQ94" s="470"/>
      <c r="FR94" s="50">
        <v>41.224999999998545</v>
      </c>
      <c r="FS94" s="50">
        <v>0</v>
      </c>
      <c r="FT94" s="50">
        <v>0</v>
      </c>
      <c r="FU94" s="50">
        <v>468.20000000000073</v>
      </c>
      <c r="FV94" s="470"/>
      <c r="FW94" s="50">
        <v>41.149999999999864</v>
      </c>
      <c r="FX94" s="50">
        <v>0</v>
      </c>
      <c r="FY94" s="50">
        <v>0</v>
      </c>
      <c r="FZ94" s="50">
        <v>0</v>
      </c>
      <c r="GA94" s="470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0"/>
      <c r="GG94" s="50">
        <v>137.29999999999836</v>
      </c>
      <c r="GH94" s="50">
        <v>0</v>
      </c>
      <c r="GI94" s="50">
        <v>0</v>
      </c>
      <c r="GJ94" s="50">
        <v>0</v>
      </c>
      <c r="GK94" s="470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0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0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56235.853749999929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0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0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0"/>
      <c r="S95" s="458">
        <v>61.874999999999886</v>
      </c>
      <c r="T95" s="50">
        <v>104.05000000000007</v>
      </c>
      <c r="U95" s="508">
        <v>143.62499999999983</v>
      </c>
      <c r="V95" s="50">
        <f>'Punten per wedstrijd'!F94</f>
        <v>227.90000000000032</v>
      </c>
      <c r="W95" s="470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0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70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0"/>
      <c r="AM95" s="458">
        <v>78.375000000000114</v>
      </c>
      <c r="AN95" s="458">
        <v>231.45000000000073</v>
      </c>
      <c r="AO95" s="458">
        <v>223.42500000000041</v>
      </c>
      <c r="AP95" s="50">
        <v>456.90000000000146</v>
      </c>
      <c r="AQ95" s="470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70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70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70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70"/>
      <c r="BL95" s="50">
        <v>0</v>
      </c>
      <c r="BM95" s="50">
        <v>87.950000000001182</v>
      </c>
      <c r="BN95" s="50">
        <v>135</v>
      </c>
      <c r="BO95" s="518">
        <v>141.6</v>
      </c>
      <c r="BP95" s="470"/>
      <c r="BQ95" s="50">
        <v>88.100000000000364</v>
      </c>
      <c r="BR95" s="50">
        <v>178.35000000000036</v>
      </c>
      <c r="BS95" s="50">
        <v>151.875</v>
      </c>
      <c r="BT95" s="518">
        <v>495.00000000000182</v>
      </c>
      <c r="BU95" s="470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0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0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0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0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0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0"/>
      <c r="CZ95" s="50">
        <v>37.500000000000909</v>
      </c>
      <c r="DA95" s="50">
        <v>0</v>
      </c>
      <c r="DB95" s="50">
        <v>213.74999999999727</v>
      </c>
      <c r="DC95" s="50">
        <v>39</v>
      </c>
      <c r="DD95" s="470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0"/>
      <c r="DJ95" s="50">
        <v>84.700000000000728</v>
      </c>
      <c r="DK95" s="50">
        <v>0</v>
      </c>
      <c r="DL95" s="50">
        <v>0</v>
      </c>
      <c r="DM95" s="50">
        <v>0</v>
      </c>
      <c r="DN95" s="470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0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0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0"/>
      <c r="ED95" s="50">
        <v>14.324999999999818</v>
      </c>
      <c r="EE95" s="50">
        <v>0</v>
      </c>
      <c r="EF95" s="50">
        <v>0</v>
      </c>
      <c r="EG95" s="50">
        <v>0</v>
      </c>
      <c r="EH95" s="470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0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0"/>
      <c r="ES95" s="50">
        <v>69.125</v>
      </c>
      <c r="ET95" s="50">
        <v>176</v>
      </c>
      <c r="EU95" s="50">
        <v>211.34999999999945</v>
      </c>
      <c r="EV95" s="50">
        <v>0</v>
      </c>
      <c r="EW95" s="470"/>
      <c r="EX95" s="50">
        <v>32.625000000001819</v>
      </c>
      <c r="EY95" s="50">
        <v>0</v>
      </c>
      <c r="EZ95" s="50">
        <v>0</v>
      </c>
      <c r="FA95" s="50">
        <v>263.50000000000364</v>
      </c>
      <c r="FB95" s="470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0"/>
      <c r="FH95" s="50">
        <v>47.450000000001637</v>
      </c>
      <c r="FI95" s="50">
        <v>0</v>
      </c>
      <c r="FJ95" s="50">
        <v>174.75</v>
      </c>
      <c r="FK95" s="50">
        <v>198.5</v>
      </c>
      <c r="FL95" s="470"/>
      <c r="FM95" s="50">
        <v>87.250000000001819</v>
      </c>
      <c r="FN95" s="50">
        <v>0</v>
      </c>
      <c r="FO95" s="50">
        <v>0</v>
      </c>
      <c r="FP95" s="50">
        <v>335.20000000000437</v>
      </c>
      <c r="FQ95" s="470"/>
      <c r="FR95" s="50">
        <v>19.050000000002001</v>
      </c>
      <c r="FS95" s="50">
        <v>0</v>
      </c>
      <c r="FT95" s="50">
        <v>0</v>
      </c>
      <c r="FU95" s="50">
        <v>679.15000000000509</v>
      </c>
      <c r="FV95" s="470"/>
      <c r="FW95" s="50">
        <v>18.924999999999727</v>
      </c>
      <c r="FX95" s="50">
        <v>0</v>
      </c>
      <c r="FY95" s="50">
        <v>0</v>
      </c>
      <c r="FZ95" s="50">
        <v>0</v>
      </c>
      <c r="GA95" s="470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0"/>
      <c r="GG95" s="50">
        <v>124.95000000000164</v>
      </c>
      <c r="GH95" s="50">
        <v>0</v>
      </c>
      <c r="GI95" s="50">
        <v>0</v>
      </c>
      <c r="GJ95" s="50">
        <v>0</v>
      </c>
      <c r="GK95" s="470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0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0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55115.050000000156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0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0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0"/>
      <c r="S96" s="458">
        <v>52.349999999999966</v>
      </c>
      <c r="T96" s="50">
        <v>65.050000000000068</v>
      </c>
      <c r="U96" s="508">
        <v>150.07500000000095</v>
      </c>
      <c r="V96" s="50">
        <f>'Punten per wedstrijd'!F95</f>
        <v>149.30000000000041</v>
      </c>
      <c r="W96" s="470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0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70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0"/>
      <c r="AM96" s="458">
        <v>155.35000000000014</v>
      </c>
      <c r="AN96" s="458">
        <v>227.09999999999991</v>
      </c>
      <c r="AO96" s="458">
        <v>326.70000000000027</v>
      </c>
      <c r="AP96" s="50">
        <v>432.59999999999854</v>
      </c>
      <c r="AQ96" s="470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70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70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70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70"/>
      <c r="BL96" s="50">
        <v>0</v>
      </c>
      <c r="BM96" s="50">
        <v>52.749999999999545</v>
      </c>
      <c r="BN96" s="50">
        <v>202.50000000000136</v>
      </c>
      <c r="BO96" s="518">
        <v>138.80000000000001</v>
      </c>
      <c r="BP96" s="470"/>
      <c r="BQ96" s="50">
        <v>77.299999999999272</v>
      </c>
      <c r="BR96" s="50">
        <v>216.04999999999927</v>
      </c>
      <c r="BS96" s="50">
        <v>159.75000000000068</v>
      </c>
      <c r="BT96" s="518">
        <v>380.29999999999836</v>
      </c>
      <c r="BU96" s="470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0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0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0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0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0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0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0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0"/>
      <c r="DJ96" s="50">
        <v>200.02500000000009</v>
      </c>
      <c r="DK96" s="50">
        <v>0</v>
      </c>
      <c r="DL96" s="50">
        <v>0</v>
      </c>
      <c r="DM96" s="50">
        <v>0</v>
      </c>
      <c r="DN96" s="470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0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0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0"/>
      <c r="ED96" s="50">
        <v>10.649999999999636</v>
      </c>
      <c r="EE96" s="50">
        <v>0</v>
      </c>
      <c r="EF96" s="50">
        <v>0</v>
      </c>
      <c r="EG96" s="50">
        <v>0</v>
      </c>
      <c r="EH96" s="470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0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0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0"/>
      <c r="EX96" s="50">
        <v>38.925000000000182</v>
      </c>
      <c r="EY96" s="50">
        <v>0</v>
      </c>
      <c r="EZ96" s="50">
        <v>0</v>
      </c>
      <c r="FA96" s="50">
        <v>251.10000000000582</v>
      </c>
      <c r="FB96" s="470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0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0"/>
      <c r="FM96" s="50">
        <v>37.475000000001273</v>
      </c>
      <c r="FN96" s="50">
        <v>0</v>
      </c>
      <c r="FO96" s="50">
        <v>0</v>
      </c>
      <c r="FP96" s="50">
        <v>276.00000000000364</v>
      </c>
      <c r="FQ96" s="470"/>
      <c r="FR96" s="50">
        <v>29.625000000003638</v>
      </c>
      <c r="FS96" s="50">
        <v>0</v>
      </c>
      <c r="FT96" s="50">
        <v>0</v>
      </c>
      <c r="FU96" s="50">
        <v>329.80000000000291</v>
      </c>
      <c r="FV96" s="470"/>
      <c r="FW96" s="50">
        <v>19.950000000000273</v>
      </c>
      <c r="FX96" s="50">
        <v>0</v>
      </c>
      <c r="FY96" s="50">
        <v>0</v>
      </c>
      <c r="FZ96" s="50">
        <v>0</v>
      </c>
      <c r="GA96" s="470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0"/>
      <c r="GG96" s="50">
        <v>87.525000000002365</v>
      </c>
      <c r="GH96" s="50">
        <v>0</v>
      </c>
      <c r="GI96" s="50">
        <v>0</v>
      </c>
      <c r="GJ96" s="50">
        <v>0</v>
      </c>
      <c r="GK96" s="470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0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0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53151.962500000031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0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0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0"/>
      <c r="S97" s="458">
        <v>67.125</v>
      </c>
      <c r="T97" s="50">
        <v>120.6500000000002</v>
      </c>
      <c r="U97" s="508">
        <v>280.87499999999966</v>
      </c>
      <c r="V97" s="50">
        <f>'Punten per wedstrijd'!F96</f>
        <v>283.29999999999995</v>
      </c>
      <c r="W97" s="470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0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70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0"/>
      <c r="AM97" s="458">
        <v>167.60000000000014</v>
      </c>
      <c r="AN97" s="458">
        <v>331.65000000000009</v>
      </c>
      <c r="AO97" s="458">
        <v>362.10000000000082</v>
      </c>
      <c r="AP97" s="50">
        <v>545.30000000000291</v>
      </c>
      <c r="AQ97" s="470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70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70"/>
      <c r="BB97" s="50">
        <v>0</v>
      </c>
      <c r="BC97" s="50">
        <v>217.70000000000073</v>
      </c>
      <c r="BD97" s="50">
        <v>132.75</v>
      </c>
      <c r="BE97" s="50">
        <v>452.5</v>
      </c>
      <c r="BF97" s="470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70"/>
      <c r="BL97" s="50">
        <v>0</v>
      </c>
      <c r="BM97" s="50">
        <v>58.100000000000819</v>
      </c>
      <c r="BN97" s="50">
        <v>261.97499999999945</v>
      </c>
      <c r="BO97" s="518">
        <v>150.5</v>
      </c>
      <c r="BP97" s="470"/>
      <c r="BQ97" s="50">
        <v>99.699999999998909</v>
      </c>
      <c r="BR97" s="50">
        <v>238.90000000000009</v>
      </c>
      <c r="BS97" s="50">
        <v>313.04999999999973</v>
      </c>
      <c r="BT97" s="518">
        <v>522.5</v>
      </c>
      <c r="BU97" s="470"/>
      <c r="BV97" s="50">
        <v>0</v>
      </c>
      <c r="BW97" s="50">
        <v>0</v>
      </c>
      <c r="BX97" s="50">
        <v>542.32500000000027</v>
      </c>
      <c r="BY97" s="50">
        <v>715.00000000000091</v>
      </c>
      <c r="BZ97" s="470"/>
      <c r="CA97" s="50">
        <v>0</v>
      </c>
      <c r="CB97" s="50">
        <v>0</v>
      </c>
      <c r="CC97" s="50">
        <v>305.24999999999727</v>
      </c>
      <c r="CD97" s="50">
        <v>273.5</v>
      </c>
      <c r="CE97" s="470"/>
      <c r="CF97" s="50">
        <v>0</v>
      </c>
      <c r="CG97" s="50">
        <v>0</v>
      </c>
      <c r="CH97" s="50">
        <v>435.00000000000205</v>
      </c>
      <c r="CI97" s="50">
        <v>129.69999999999982</v>
      </c>
      <c r="CJ97" s="470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0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0"/>
      <c r="CU97" s="50">
        <v>0</v>
      </c>
      <c r="CV97" s="50">
        <v>0</v>
      </c>
      <c r="CW97" s="50">
        <v>482.21250000000191</v>
      </c>
      <c r="CX97" s="50">
        <v>607.90000000000327</v>
      </c>
      <c r="CY97" s="470"/>
      <c r="CZ97" s="50">
        <v>0</v>
      </c>
      <c r="DA97" s="50">
        <v>0</v>
      </c>
      <c r="DB97" s="50">
        <v>155.84999999999945</v>
      </c>
      <c r="DC97" s="50">
        <v>277.80000000000473</v>
      </c>
      <c r="DD97" s="470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0"/>
      <c r="DJ97" s="50">
        <v>0</v>
      </c>
      <c r="DK97" s="50">
        <v>0</v>
      </c>
      <c r="DL97" s="50">
        <v>0</v>
      </c>
      <c r="DM97" s="50">
        <v>0</v>
      </c>
      <c r="DN97" s="470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0"/>
      <c r="DT97" s="50">
        <v>0</v>
      </c>
      <c r="DU97" s="50">
        <v>0</v>
      </c>
      <c r="DV97" s="50">
        <v>540.22499999999945</v>
      </c>
      <c r="DW97" s="50">
        <v>456.69999999999891</v>
      </c>
      <c r="DX97" s="470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0"/>
      <c r="ED97" s="50">
        <v>0</v>
      </c>
      <c r="EE97" s="50">
        <v>0</v>
      </c>
      <c r="EF97" s="50">
        <v>0</v>
      </c>
      <c r="EG97" s="50">
        <v>0</v>
      </c>
      <c r="EH97" s="470"/>
      <c r="EI97" s="50">
        <v>0</v>
      </c>
      <c r="EJ97" s="50">
        <v>0</v>
      </c>
      <c r="EK97" s="50">
        <v>114.00000000000546</v>
      </c>
      <c r="EL97" s="50">
        <v>240.50000000000728</v>
      </c>
      <c r="EM97" s="470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0"/>
      <c r="ES97" s="50">
        <v>0</v>
      </c>
      <c r="ET97" s="50">
        <v>253.949999999998</v>
      </c>
      <c r="EU97" s="50">
        <v>269.62500000000546</v>
      </c>
      <c r="EV97" s="50">
        <v>0</v>
      </c>
      <c r="EW97" s="470"/>
      <c r="EX97" s="50">
        <v>0</v>
      </c>
      <c r="EY97" s="50">
        <v>0</v>
      </c>
      <c r="EZ97" s="50">
        <v>0</v>
      </c>
      <c r="FA97" s="50">
        <v>234.00000000000364</v>
      </c>
      <c r="FB97" s="470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0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0"/>
      <c r="FM97" s="50">
        <v>0</v>
      </c>
      <c r="FN97" s="50">
        <v>0</v>
      </c>
      <c r="FO97" s="50">
        <v>0</v>
      </c>
      <c r="FP97" s="50">
        <v>148.39999999999782</v>
      </c>
      <c r="FQ97" s="470"/>
      <c r="FR97" s="50">
        <v>0</v>
      </c>
      <c r="FS97" s="50">
        <v>0</v>
      </c>
      <c r="FT97" s="50">
        <v>0</v>
      </c>
      <c r="FU97" s="50">
        <v>413.50000000000364</v>
      </c>
      <c r="FV97" s="470"/>
      <c r="FW97" s="50">
        <v>0</v>
      </c>
      <c r="FX97" s="50">
        <v>0</v>
      </c>
      <c r="FY97" s="50">
        <v>0</v>
      </c>
      <c r="FZ97" s="50">
        <v>0</v>
      </c>
      <c r="GA97" s="470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0"/>
      <c r="GG97" s="50">
        <v>0</v>
      </c>
      <c r="GH97" s="50">
        <v>0</v>
      </c>
      <c r="GI97" s="50">
        <v>0</v>
      </c>
      <c r="GJ97" s="50">
        <v>0</v>
      </c>
      <c r="GK97" s="470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0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0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2034</v>
      </c>
      <c r="B98" s="46">
        <f t="shared" si="2"/>
        <v>23476.424999999948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0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0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0"/>
      <c r="S98" s="458">
        <v>0</v>
      </c>
      <c r="T98" s="50">
        <v>0</v>
      </c>
      <c r="U98" s="508">
        <v>421.5750000000001</v>
      </c>
      <c r="V98" s="50">
        <f>'Punten per wedstrijd'!F97</f>
        <v>172</v>
      </c>
      <c r="W98" s="470"/>
      <c r="X98" s="50">
        <v>0</v>
      </c>
      <c r="Y98" s="50">
        <v>0</v>
      </c>
      <c r="Z98" s="50">
        <v>295.12500000000034</v>
      </c>
      <c r="AA98" s="50">
        <v>247.50000000000045</v>
      </c>
      <c r="AB98" s="470"/>
      <c r="AC98" s="50">
        <v>0</v>
      </c>
      <c r="AD98" s="50">
        <v>0</v>
      </c>
      <c r="AE98" s="50">
        <v>487.95000000000095</v>
      </c>
      <c r="AF98" s="50">
        <v>799.70000000000073</v>
      </c>
      <c r="AG98" s="470"/>
      <c r="AH98" s="50">
        <v>0</v>
      </c>
      <c r="AI98" s="50">
        <v>0</v>
      </c>
      <c r="AJ98" s="50">
        <v>545.62500000000102</v>
      </c>
      <c r="AK98" s="50">
        <v>660.00000000000045</v>
      </c>
      <c r="AL98" s="470"/>
      <c r="AM98" s="458">
        <v>0</v>
      </c>
      <c r="AN98" s="458">
        <v>0</v>
      </c>
      <c r="AO98" s="458">
        <v>248.85000000000082</v>
      </c>
      <c r="AP98" s="50">
        <v>621.59999999999945</v>
      </c>
      <c r="AQ98" s="470"/>
      <c r="AR98" s="50">
        <v>0</v>
      </c>
      <c r="AS98" s="50">
        <v>0</v>
      </c>
      <c r="AT98" s="50">
        <v>151.50000000000136</v>
      </c>
      <c r="AU98" s="50">
        <v>399.9</v>
      </c>
      <c r="AV98" s="470"/>
      <c r="AW98" s="50">
        <v>0</v>
      </c>
      <c r="AX98" s="50">
        <v>0</v>
      </c>
      <c r="AY98" s="50">
        <v>107.55000000000177</v>
      </c>
      <c r="AZ98" s="50">
        <v>790.20000000000073</v>
      </c>
      <c r="BA98" s="470"/>
      <c r="BB98" s="50">
        <v>0</v>
      </c>
      <c r="BC98" s="50">
        <v>0</v>
      </c>
      <c r="BD98" s="50">
        <v>324.30000000000177</v>
      </c>
      <c r="BE98" s="50">
        <v>473</v>
      </c>
      <c r="BF98" s="470"/>
      <c r="BG98" s="50">
        <v>0</v>
      </c>
      <c r="BH98" s="50">
        <v>0</v>
      </c>
      <c r="BI98" s="50">
        <v>218.4750000000015</v>
      </c>
      <c r="BJ98" s="50">
        <v>191.7</v>
      </c>
      <c r="BK98" s="470"/>
      <c r="BL98" s="50">
        <v>0</v>
      </c>
      <c r="BM98" s="50">
        <v>0</v>
      </c>
      <c r="BN98" s="50">
        <v>349.27500000000191</v>
      </c>
      <c r="BO98" s="518">
        <v>181</v>
      </c>
      <c r="BP98" s="470"/>
      <c r="BQ98" s="50">
        <v>0</v>
      </c>
      <c r="BR98" s="50">
        <v>0</v>
      </c>
      <c r="BS98" s="50">
        <v>221.02500000000123</v>
      </c>
      <c r="BT98" s="518">
        <v>482.5</v>
      </c>
      <c r="BU98" s="470"/>
      <c r="BV98" s="50">
        <v>0</v>
      </c>
      <c r="BW98" s="50">
        <v>0</v>
      </c>
      <c r="BX98" s="50">
        <v>0</v>
      </c>
      <c r="BY98" s="50">
        <v>554.40000000000236</v>
      </c>
      <c r="BZ98" s="470"/>
      <c r="CA98" s="50">
        <v>0</v>
      </c>
      <c r="CB98" s="50">
        <v>0</v>
      </c>
      <c r="CC98" s="50">
        <v>0</v>
      </c>
      <c r="CD98" s="50">
        <v>368.20000000000073</v>
      </c>
      <c r="CE98" s="470"/>
      <c r="CF98" s="50">
        <v>0</v>
      </c>
      <c r="CG98" s="50">
        <v>0</v>
      </c>
      <c r="CH98" s="50">
        <v>0</v>
      </c>
      <c r="CI98" s="50">
        <v>324.70000000000073</v>
      </c>
      <c r="CJ98" s="470"/>
      <c r="CK98" s="50">
        <v>0</v>
      </c>
      <c r="CL98" s="50">
        <v>0</v>
      </c>
      <c r="CM98" s="50">
        <v>0</v>
      </c>
      <c r="CN98" s="50">
        <v>189.60000000000036</v>
      </c>
      <c r="CO98" s="470"/>
      <c r="CP98" s="50">
        <v>0</v>
      </c>
      <c r="CQ98" s="50">
        <v>0</v>
      </c>
      <c r="CR98" s="50">
        <v>0</v>
      </c>
      <c r="CS98" s="50">
        <v>452.80000000000109</v>
      </c>
      <c r="CT98" s="470"/>
      <c r="CU98" s="50">
        <v>0</v>
      </c>
      <c r="CV98" s="50">
        <v>0</v>
      </c>
      <c r="CW98" s="50">
        <v>0</v>
      </c>
      <c r="CX98" s="50">
        <v>124.09999999999854</v>
      </c>
      <c r="CY98" s="470"/>
      <c r="CZ98" s="50">
        <v>0</v>
      </c>
      <c r="DA98" s="50">
        <v>0</v>
      </c>
      <c r="DB98" s="50">
        <v>0</v>
      </c>
      <c r="DC98" s="50">
        <v>6.499999999998181</v>
      </c>
      <c r="DD98" s="470"/>
      <c r="DE98" s="50">
        <v>0</v>
      </c>
      <c r="DF98" s="50">
        <v>0</v>
      </c>
      <c r="DG98" s="50">
        <v>0</v>
      </c>
      <c r="DH98" s="50">
        <v>1449.1</v>
      </c>
      <c r="DI98" s="470"/>
      <c r="DJ98" s="50">
        <v>0</v>
      </c>
      <c r="DK98" s="50">
        <v>0</v>
      </c>
      <c r="DL98" s="50">
        <v>0</v>
      </c>
      <c r="DM98" s="50">
        <v>0</v>
      </c>
      <c r="DN98" s="470"/>
      <c r="DO98" s="50">
        <v>0</v>
      </c>
      <c r="DP98" s="50">
        <v>0</v>
      </c>
      <c r="DQ98" s="50">
        <v>0</v>
      </c>
      <c r="DR98" s="50">
        <v>563.30000000000109</v>
      </c>
      <c r="DS98" s="470"/>
      <c r="DT98" s="50">
        <v>0</v>
      </c>
      <c r="DU98" s="50">
        <v>0</v>
      </c>
      <c r="DV98" s="50">
        <v>0</v>
      </c>
      <c r="DW98" s="50">
        <v>301.69999999999709</v>
      </c>
      <c r="DX98" s="470"/>
      <c r="DY98" s="50">
        <v>0</v>
      </c>
      <c r="DZ98" s="50">
        <v>0</v>
      </c>
      <c r="EA98" s="50">
        <v>0</v>
      </c>
      <c r="EB98" s="50">
        <v>3044.6999999999643</v>
      </c>
      <c r="EC98" s="470"/>
      <c r="ED98" s="50">
        <v>0</v>
      </c>
      <c r="EE98" s="50">
        <v>0</v>
      </c>
      <c r="EF98" s="50">
        <v>0</v>
      </c>
      <c r="EG98" s="50">
        <v>0</v>
      </c>
      <c r="EH98" s="470"/>
      <c r="EI98" s="50">
        <v>0</v>
      </c>
      <c r="EJ98" s="50">
        <v>0</v>
      </c>
      <c r="EK98" s="50">
        <v>0</v>
      </c>
      <c r="EL98" s="50">
        <v>448.99999999999818</v>
      </c>
      <c r="EM98" s="470"/>
      <c r="EN98" s="50">
        <v>0</v>
      </c>
      <c r="EO98" s="50">
        <v>0</v>
      </c>
      <c r="EP98" s="50">
        <v>0</v>
      </c>
      <c r="EQ98" s="50">
        <v>226.49999999999818</v>
      </c>
      <c r="ER98" s="470"/>
      <c r="ES98" s="50">
        <v>0</v>
      </c>
      <c r="ET98" s="50">
        <v>0</v>
      </c>
      <c r="EU98" s="50">
        <v>0</v>
      </c>
      <c r="EV98" s="50">
        <v>0</v>
      </c>
      <c r="EW98" s="470"/>
      <c r="EX98" s="50">
        <v>0</v>
      </c>
      <c r="EY98" s="50">
        <v>0</v>
      </c>
      <c r="EZ98" s="50">
        <v>0</v>
      </c>
      <c r="FA98" s="50">
        <v>279.59999999999854</v>
      </c>
      <c r="FB98" s="470"/>
      <c r="FC98" s="50">
        <v>0</v>
      </c>
      <c r="FD98" s="50">
        <v>0</v>
      </c>
      <c r="FE98" s="50">
        <v>0</v>
      </c>
      <c r="FF98" s="50">
        <v>3257.6</v>
      </c>
      <c r="FG98" s="470"/>
      <c r="FH98" s="50">
        <v>0</v>
      </c>
      <c r="FI98" s="50">
        <v>0</v>
      </c>
      <c r="FJ98" s="50">
        <v>0</v>
      </c>
      <c r="FK98" s="50">
        <v>186.19999999999891</v>
      </c>
      <c r="FL98" s="470"/>
      <c r="FM98" s="50">
        <v>0</v>
      </c>
      <c r="FN98" s="50">
        <v>0</v>
      </c>
      <c r="FO98" s="50">
        <v>0</v>
      </c>
      <c r="FP98" s="50">
        <v>107.59999999999854</v>
      </c>
      <c r="FQ98" s="470"/>
      <c r="FR98" s="50">
        <v>0</v>
      </c>
      <c r="FS98" s="50">
        <v>0</v>
      </c>
      <c r="FT98" s="50">
        <v>0</v>
      </c>
      <c r="FU98" s="50">
        <v>308.09999999999854</v>
      </c>
      <c r="FV98" s="470"/>
      <c r="FW98" s="50">
        <v>0</v>
      </c>
      <c r="FX98" s="50">
        <v>0</v>
      </c>
      <c r="FY98" s="50">
        <v>0</v>
      </c>
      <c r="FZ98" s="50">
        <v>0</v>
      </c>
      <c r="GA98" s="470"/>
      <c r="GB98" s="50">
        <v>0</v>
      </c>
      <c r="GC98" s="50">
        <v>0</v>
      </c>
      <c r="GD98" s="50">
        <v>0</v>
      </c>
      <c r="GE98" s="50">
        <v>301.19999999999345</v>
      </c>
      <c r="GF98" s="470"/>
      <c r="GG98" s="50">
        <v>0</v>
      </c>
      <c r="GH98" s="50">
        <v>0</v>
      </c>
      <c r="GI98" s="50">
        <v>0</v>
      </c>
      <c r="GJ98" s="50">
        <v>0</v>
      </c>
      <c r="GK98" s="470"/>
      <c r="GL98" s="50">
        <v>0</v>
      </c>
      <c r="GM98" s="50">
        <v>0</v>
      </c>
      <c r="GN98" s="50">
        <v>0</v>
      </c>
      <c r="GO98" s="50">
        <v>1109.8999999999905</v>
      </c>
      <c r="GP98" s="470"/>
      <c r="GQ98" s="50">
        <v>0</v>
      </c>
      <c r="GR98" s="50">
        <v>0</v>
      </c>
      <c r="GS98" s="50">
        <v>0</v>
      </c>
      <c r="GT98" s="50">
        <v>244.49999999999636</v>
      </c>
      <c r="GU98" s="470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6004.2000000000007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0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0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0"/>
      <c r="S99" s="458">
        <v>0</v>
      </c>
      <c r="T99" s="50">
        <v>0</v>
      </c>
      <c r="U99" s="508">
        <v>0</v>
      </c>
      <c r="V99" s="50">
        <f>'Punten per wedstrijd'!F98</f>
        <v>89.999999999999545</v>
      </c>
      <c r="W99" s="470"/>
      <c r="X99" s="50">
        <v>0</v>
      </c>
      <c r="Y99" s="50">
        <v>0</v>
      </c>
      <c r="Z99" s="50">
        <v>0</v>
      </c>
      <c r="AA99" s="50">
        <v>383.10000000000036</v>
      </c>
      <c r="AB99" s="470"/>
      <c r="AC99" s="50">
        <v>0</v>
      </c>
      <c r="AD99" s="50">
        <v>0</v>
      </c>
      <c r="AE99" s="50">
        <v>0</v>
      </c>
      <c r="AF99" s="50">
        <v>933.09999999999945</v>
      </c>
      <c r="AG99" s="470"/>
      <c r="AH99" s="50">
        <v>0</v>
      </c>
      <c r="AI99" s="50">
        <v>0</v>
      </c>
      <c r="AJ99" s="50">
        <v>0</v>
      </c>
      <c r="AK99" s="50">
        <v>791.70000000000027</v>
      </c>
      <c r="AL99" s="470"/>
      <c r="AM99" s="458">
        <v>0</v>
      </c>
      <c r="AN99" s="458">
        <v>0</v>
      </c>
      <c r="AO99" s="458">
        <v>0</v>
      </c>
      <c r="AP99" s="50">
        <v>629.95000000000073</v>
      </c>
      <c r="AQ99" s="470"/>
      <c r="AR99" s="50">
        <v>0</v>
      </c>
      <c r="AS99" s="50">
        <v>0</v>
      </c>
      <c r="AT99" s="50">
        <v>0</v>
      </c>
      <c r="AU99" s="50">
        <v>97.5</v>
      </c>
      <c r="AV99" s="470"/>
      <c r="AW99" s="50">
        <v>0</v>
      </c>
      <c r="AX99" s="50">
        <v>0</v>
      </c>
      <c r="AY99" s="50">
        <v>0</v>
      </c>
      <c r="AZ99" s="50">
        <v>779.50000000000182</v>
      </c>
      <c r="BA99" s="470"/>
      <c r="BB99" s="50">
        <v>0</v>
      </c>
      <c r="BC99" s="50">
        <v>0</v>
      </c>
      <c r="BD99" s="50">
        <v>0</v>
      </c>
      <c r="BE99" s="50">
        <v>543.65</v>
      </c>
      <c r="BF99" s="470"/>
      <c r="BG99" s="50">
        <v>0</v>
      </c>
      <c r="BH99" s="50">
        <v>0</v>
      </c>
      <c r="BI99" s="50">
        <v>0</v>
      </c>
      <c r="BJ99" s="50">
        <v>157.70000000000002</v>
      </c>
      <c r="BK99" s="470"/>
      <c r="BL99" s="50">
        <v>0</v>
      </c>
      <c r="BM99" s="50">
        <v>0</v>
      </c>
      <c r="BN99" s="50">
        <v>0</v>
      </c>
      <c r="BO99" s="518">
        <v>62.400000000000006</v>
      </c>
      <c r="BP99" s="470"/>
      <c r="BQ99" s="50">
        <v>0</v>
      </c>
      <c r="BR99" s="50">
        <v>0</v>
      </c>
      <c r="BS99" s="50">
        <v>0</v>
      </c>
      <c r="BT99" s="518">
        <v>525.19999999999982</v>
      </c>
      <c r="BU99" s="470"/>
      <c r="BV99" s="50"/>
      <c r="BW99" s="50"/>
      <c r="BX99" s="50"/>
      <c r="BY99" s="50"/>
      <c r="BZ99" s="470"/>
      <c r="CA99" s="50"/>
      <c r="CB99" s="50"/>
      <c r="CC99" s="50"/>
      <c r="CD99" s="50"/>
      <c r="CE99" s="470"/>
      <c r="CF99" s="50"/>
      <c r="CG99" s="50"/>
      <c r="CH99" s="50"/>
      <c r="CI99" s="50"/>
      <c r="CJ99" s="470"/>
      <c r="CK99" s="50"/>
      <c r="CL99" s="50"/>
      <c r="CM99" s="50"/>
      <c r="CN99" s="50"/>
      <c r="CO99" s="470"/>
      <c r="CP99" s="50"/>
      <c r="CQ99" s="50"/>
      <c r="CR99" s="50"/>
      <c r="CS99" s="50"/>
      <c r="CT99" s="470"/>
      <c r="CU99" s="50"/>
      <c r="CV99" s="50"/>
      <c r="CW99" s="50"/>
      <c r="CX99" s="50"/>
      <c r="CY99" s="470"/>
      <c r="CZ99" s="50"/>
      <c r="DA99" s="50"/>
      <c r="DB99" s="50"/>
      <c r="DC99" s="50"/>
      <c r="DD99" s="470"/>
      <c r="DE99" s="50"/>
      <c r="DF99" s="50"/>
      <c r="DG99" s="50"/>
      <c r="DH99" s="50"/>
      <c r="DI99" s="470"/>
      <c r="DJ99" s="50"/>
      <c r="DK99" s="50"/>
      <c r="DL99" s="50"/>
      <c r="DM99" s="50"/>
      <c r="DN99" s="470"/>
      <c r="DO99" s="50"/>
      <c r="DP99" s="50"/>
      <c r="DQ99" s="50"/>
      <c r="DR99" s="50"/>
      <c r="DS99" s="470"/>
      <c r="DT99" s="50"/>
      <c r="DU99" s="50"/>
      <c r="DV99" s="50"/>
      <c r="DW99" s="50"/>
      <c r="DX99" s="470"/>
      <c r="DY99" s="50"/>
      <c r="DZ99" s="50"/>
      <c r="EA99" s="50"/>
      <c r="EB99" s="50"/>
      <c r="EC99" s="470"/>
      <c r="ED99" s="50"/>
      <c r="EE99" s="50"/>
      <c r="EF99" s="50"/>
      <c r="EG99" s="50"/>
      <c r="EH99" s="470"/>
      <c r="EI99" s="50"/>
      <c r="EJ99" s="50"/>
      <c r="EK99" s="50"/>
      <c r="EL99" s="50"/>
      <c r="EM99" s="470"/>
      <c r="EN99" s="50"/>
      <c r="EO99" s="50"/>
      <c r="EP99" s="50"/>
      <c r="EQ99" s="50"/>
      <c r="ER99" s="470"/>
      <c r="ES99" s="50"/>
      <c r="ET99" s="50"/>
      <c r="EU99" s="50"/>
      <c r="EV99" s="50"/>
      <c r="EW99" s="470"/>
      <c r="EX99" s="50"/>
      <c r="EY99" s="50"/>
      <c r="EZ99" s="50"/>
      <c r="FA99" s="50"/>
      <c r="FB99" s="470"/>
      <c r="FC99" s="50"/>
      <c r="FD99" s="50"/>
      <c r="FE99" s="50"/>
      <c r="FF99" s="50"/>
      <c r="FG99" s="470"/>
      <c r="FH99" s="50"/>
      <c r="FI99" s="50"/>
      <c r="FJ99" s="50"/>
      <c r="FK99" s="50"/>
      <c r="FL99" s="470"/>
      <c r="FM99" s="50"/>
      <c r="FN99" s="50"/>
      <c r="FO99" s="50"/>
      <c r="FP99" s="50"/>
      <c r="FQ99" s="470"/>
      <c r="FR99" s="50"/>
      <c r="FS99" s="50"/>
      <c r="FT99" s="50"/>
      <c r="FU99" s="50"/>
      <c r="FV99" s="470"/>
      <c r="FW99" s="50"/>
      <c r="FX99" s="50"/>
      <c r="FY99" s="50"/>
      <c r="FZ99" s="50"/>
      <c r="GA99" s="470"/>
      <c r="GB99" s="50"/>
      <c r="GC99" s="50"/>
      <c r="GD99" s="50"/>
      <c r="GE99" s="50"/>
      <c r="GF99" s="470"/>
      <c r="GG99" s="50"/>
      <c r="GH99" s="50"/>
      <c r="GI99" s="50"/>
      <c r="GJ99" s="50"/>
      <c r="GK99" s="470"/>
      <c r="GL99" s="50"/>
      <c r="GM99" s="50"/>
      <c r="GN99" s="50"/>
      <c r="GO99" s="50"/>
      <c r="GP99" s="470"/>
      <c r="GQ99" s="50"/>
      <c r="GR99" s="50"/>
      <c r="GS99" s="50"/>
      <c r="GT99" s="50"/>
      <c r="GU99" s="470"/>
      <c r="GZ99" s="143"/>
      <c r="HA99" s="464"/>
      <c r="HI99" s="143"/>
      <c r="HJ99" s="464"/>
      <c r="HR99" s="143"/>
      <c r="HS99" s="464"/>
      <c r="IA99" s="39"/>
      <c r="IB99" s="464"/>
      <c r="IJ99" s="39"/>
      <c r="IK99" s="464"/>
      <c r="IS99" s="39"/>
      <c r="IT99" s="464"/>
      <c r="JB99" s="39"/>
      <c r="JC99" s="464"/>
      <c r="JK99" s="39"/>
      <c r="JL99" s="464"/>
      <c r="JT99" s="39"/>
      <c r="JU99" s="464"/>
      <c r="KC99" s="39"/>
      <c r="KD99" s="464"/>
      <c r="KL99" s="39"/>
      <c r="KM99" s="464"/>
      <c r="KU99" s="39"/>
      <c r="KV99" s="464"/>
      <c r="LD99" s="39"/>
      <c r="LE99" s="464"/>
      <c r="ME99" s="39"/>
      <c r="MF99" s="464"/>
      <c r="MN99" s="39"/>
      <c r="MO99" s="464"/>
      <c r="MW99" s="39"/>
      <c r="MX99" s="464"/>
      <c r="NF99" s="39"/>
      <c r="NG99" s="464"/>
      <c r="NO99" s="39"/>
      <c r="NP99" s="464"/>
      <c r="NX99" s="39"/>
      <c r="NY99" s="464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3403</v>
      </c>
      <c r="B100" s="46">
        <f t="shared" si="2"/>
        <v>6444.1000000000022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0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0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0"/>
      <c r="S100" s="458">
        <v>0</v>
      </c>
      <c r="T100" s="50">
        <v>0</v>
      </c>
      <c r="U100" s="508">
        <v>0</v>
      </c>
      <c r="V100" s="50">
        <f>'Punten per wedstrijd'!F99</f>
        <v>339.49999999999955</v>
      </c>
      <c r="W100" s="470"/>
      <c r="X100" s="50">
        <v>0</v>
      </c>
      <c r="Y100" s="50">
        <v>0</v>
      </c>
      <c r="Z100" s="50">
        <v>0</v>
      </c>
      <c r="AA100" s="50">
        <v>207.00000000000045</v>
      </c>
      <c r="AB100" s="470"/>
      <c r="AC100" s="50">
        <v>0</v>
      </c>
      <c r="AD100" s="50">
        <v>0</v>
      </c>
      <c r="AE100" s="50">
        <v>0</v>
      </c>
      <c r="AF100" s="50">
        <v>905.30000000000155</v>
      </c>
      <c r="AG100" s="470"/>
      <c r="AH100" s="50">
        <v>0</v>
      </c>
      <c r="AI100" s="50">
        <v>0</v>
      </c>
      <c r="AJ100" s="50">
        <v>0</v>
      </c>
      <c r="AK100" s="50">
        <v>556.60000000000036</v>
      </c>
      <c r="AL100" s="470"/>
      <c r="AM100" s="458">
        <v>0</v>
      </c>
      <c r="AN100" s="458">
        <v>0</v>
      </c>
      <c r="AO100" s="458">
        <v>0</v>
      </c>
      <c r="AP100" s="50">
        <v>619.10000000000036</v>
      </c>
      <c r="AQ100" s="470"/>
      <c r="AR100" s="50">
        <v>0</v>
      </c>
      <c r="AS100" s="50">
        <v>0</v>
      </c>
      <c r="AT100" s="50">
        <v>0</v>
      </c>
      <c r="AU100" s="50">
        <v>262.10000000000002</v>
      </c>
      <c r="AV100" s="470"/>
      <c r="AW100" s="50">
        <v>0</v>
      </c>
      <c r="AX100" s="50">
        <v>0</v>
      </c>
      <c r="AY100" s="50">
        <v>0</v>
      </c>
      <c r="AZ100" s="50">
        <v>684.89999999999964</v>
      </c>
      <c r="BA100" s="470"/>
      <c r="BB100" s="50">
        <v>0</v>
      </c>
      <c r="BC100" s="50">
        <v>0</v>
      </c>
      <c r="BD100" s="50">
        <v>0</v>
      </c>
      <c r="BE100" s="50">
        <v>487.5</v>
      </c>
      <c r="BF100" s="470"/>
      <c r="BG100" s="50">
        <v>0</v>
      </c>
      <c r="BH100" s="50">
        <v>0</v>
      </c>
      <c r="BI100" s="50">
        <v>0</v>
      </c>
      <c r="BJ100" s="50">
        <v>168.8</v>
      </c>
      <c r="BK100" s="470"/>
      <c r="BL100" s="50">
        <v>0</v>
      </c>
      <c r="BM100" s="50">
        <v>0</v>
      </c>
      <c r="BN100" s="50">
        <v>0</v>
      </c>
      <c r="BO100" s="518">
        <v>195.5</v>
      </c>
      <c r="BP100" s="470"/>
      <c r="BQ100" s="50">
        <v>0</v>
      </c>
      <c r="BR100" s="50">
        <v>0</v>
      </c>
      <c r="BS100" s="50">
        <v>0</v>
      </c>
      <c r="BT100" s="518">
        <v>556.19999999999982</v>
      </c>
      <c r="BU100" s="470"/>
      <c r="BV100" s="50"/>
      <c r="BW100" s="50"/>
      <c r="BX100" s="50"/>
      <c r="BY100" s="50"/>
      <c r="BZ100" s="470"/>
      <c r="CA100" s="50"/>
      <c r="CB100" s="50"/>
      <c r="CC100" s="50"/>
      <c r="CD100" s="50"/>
      <c r="CE100" s="470"/>
      <c r="CF100" s="50"/>
      <c r="CG100" s="50"/>
      <c r="CH100" s="50"/>
      <c r="CI100" s="50"/>
      <c r="CJ100" s="470"/>
      <c r="CK100" s="50"/>
      <c r="CL100" s="50"/>
      <c r="CM100" s="50"/>
      <c r="CN100" s="50"/>
      <c r="CO100" s="470"/>
      <c r="CP100" s="50"/>
      <c r="CQ100" s="50"/>
      <c r="CR100" s="50"/>
      <c r="CS100" s="50"/>
      <c r="CT100" s="470"/>
      <c r="CU100" s="50"/>
      <c r="CV100" s="50"/>
      <c r="CW100" s="50"/>
      <c r="CX100" s="50"/>
      <c r="CY100" s="470"/>
      <c r="CZ100" s="50"/>
      <c r="DA100" s="50"/>
      <c r="DB100" s="50"/>
      <c r="DC100" s="50"/>
      <c r="DD100" s="470"/>
      <c r="DE100" s="50"/>
      <c r="DF100" s="50"/>
      <c r="DG100" s="50"/>
      <c r="DH100" s="50"/>
      <c r="DI100" s="470"/>
      <c r="DJ100" s="50"/>
      <c r="DK100" s="50"/>
      <c r="DL100" s="50"/>
      <c r="DM100" s="50"/>
      <c r="DN100" s="470"/>
      <c r="DO100" s="50"/>
      <c r="DP100" s="50"/>
      <c r="DQ100" s="50"/>
      <c r="DR100" s="50"/>
      <c r="DS100" s="470"/>
      <c r="DT100" s="50"/>
      <c r="DU100" s="50"/>
      <c r="DV100" s="50"/>
      <c r="DW100" s="50"/>
      <c r="DX100" s="470"/>
      <c r="DY100" s="50"/>
      <c r="DZ100" s="50"/>
      <c r="EA100" s="50"/>
      <c r="EB100" s="50"/>
      <c r="EC100" s="470"/>
      <c r="ED100" s="50"/>
      <c r="EE100" s="50"/>
      <c r="EF100" s="50"/>
      <c r="EG100" s="50"/>
      <c r="EH100" s="470"/>
      <c r="EI100" s="50"/>
      <c r="EJ100" s="50"/>
      <c r="EK100" s="50"/>
      <c r="EL100" s="50"/>
      <c r="EM100" s="470"/>
      <c r="EN100" s="50"/>
      <c r="EO100" s="50"/>
      <c r="EP100" s="50"/>
      <c r="EQ100" s="50"/>
      <c r="ER100" s="470"/>
      <c r="ES100" s="50"/>
      <c r="ET100" s="50"/>
      <c r="EU100" s="50"/>
      <c r="EV100" s="50"/>
      <c r="EW100" s="470"/>
      <c r="EX100" s="50"/>
      <c r="EY100" s="50"/>
      <c r="EZ100" s="50"/>
      <c r="FA100" s="50"/>
      <c r="FB100" s="470"/>
      <c r="FC100" s="50"/>
      <c r="FD100" s="50"/>
      <c r="FE100" s="50"/>
      <c r="FF100" s="50"/>
      <c r="FG100" s="470"/>
      <c r="FH100" s="50"/>
      <c r="FI100" s="50"/>
      <c r="FJ100" s="50"/>
      <c r="FK100" s="50"/>
      <c r="FL100" s="470"/>
      <c r="FM100" s="50"/>
      <c r="FN100" s="50"/>
      <c r="FO100" s="50"/>
      <c r="FP100" s="50"/>
      <c r="FQ100" s="470"/>
      <c r="FR100" s="50"/>
      <c r="FS100" s="50"/>
      <c r="FT100" s="50"/>
      <c r="FU100" s="50"/>
      <c r="FV100" s="470"/>
      <c r="FW100" s="50"/>
      <c r="FX100" s="50"/>
      <c r="FY100" s="50"/>
      <c r="FZ100" s="50"/>
      <c r="GA100" s="470"/>
      <c r="GB100" s="50"/>
      <c r="GC100" s="50"/>
      <c r="GD100" s="50"/>
      <c r="GE100" s="50"/>
      <c r="GF100" s="470"/>
      <c r="GG100" s="50"/>
      <c r="GH100" s="50"/>
      <c r="GI100" s="50"/>
      <c r="GJ100" s="50"/>
      <c r="GK100" s="470"/>
      <c r="GL100" s="50"/>
      <c r="GM100" s="50"/>
      <c r="GN100" s="50"/>
      <c r="GO100" s="50"/>
      <c r="GP100" s="470"/>
      <c r="GQ100" s="50"/>
      <c r="GR100" s="50"/>
      <c r="GS100" s="50"/>
      <c r="GT100" s="50"/>
      <c r="GU100" s="470"/>
      <c r="GZ100" s="143"/>
      <c r="HA100" s="464"/>
      <c r="HI100" s="143"/>
      <c r="HJ100" s="464"/>
      <c r="HR100" s="143"/>
      <c r="HS100" s="464"/>
      <c r="IA100" s="39"/>
      <c r="IB100" s="464"/>
      <c r="IJ100" s="39"/>
      <c r="IK100" s="464"/>
      <c r="IS100" s="39"/>
      <c r="IT100" s="464"/>
      <c r="JB100" s="39"/>
      <c r="JC100" s="464"/>
      <c r="JK100" s="39"/>
      <c r="JL100" s="464"/>
      <c r="JT100" s="39"/>
      <c r="JU100" s="464"/>
      <c r="KC100" s="39"/>
      <c r="KD100" s="464"/>
      <c r="KL100" s="39"/>
      <c r="KM100" s="464"/>
      <c r="KU100" s="39"/>
      <c r="KV100" s="464"/>
      <c r="LD100" s="39"/>
      <c r="LE100" s="464"/>
      <c r="ME100" s="39"/>
      <c r="MF100" s="464"/>
      <c r="MN100" s="39"/>
      <c r="MO100" s="464"/>
      <c r="MW100" s="39"/>
      <c r="MX100" s="464"/>
      <c r="NF100" s="39"/>
      <c r="NG100" s="464"/>
      <c r="NO100" s="39"/>
      <c r="NP100" s="464"/>
      <c r="NX100" s="39"/>
      <c r="NY100" s="464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47367.787499999926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0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0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0"/>
      <c r="S101" s="458">
        <v>26</v>
      </c>
      <c r="T101" s="50">
        <v>142.44999999999993</v>
      </c>
      <c r="U101" s="508">
        <v>218.0250000000002</v>
      </c>
      <c r="V101" s="50">
        <f>'Punten per wedstrijd'!F100</f>
        <v>200.20000000000027</v>
      </c>
      <c r="W101" s="470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0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70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0"/>
      <c r="AM101" s="458">
        <v>116.22499999999991</v>
      </c>
      <c r="AN101" s="458">
        <v>287.59999999999945</v>
      </c>
      <c r="AO101" s="458">
        <v>422.40000000000055</v>
      </c>
      <c r="AP101" s="50">
        <v>554.49999999999909</v>
      </c>
      <c r="AQ101" s="470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70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70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70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70"/>
      <c r="BL101" s="50">
        <v>0</v>
      </c>
      <c r="BM101" s="50">
        <v>65.849999999999909</v>
      </c>
      <c r="BN101" s="50">
        <v>157.875</v>
      </c>
      <c r="BO101" s="518">
        <v>296.8</v>
      </c>
      <c r="BP101" s="470"/>
      <c r="BQ101" s="50">
        <v>24.250000000000455</v>
      </c>
      <c r="BR101" s="50">
        <v>176.89999999999964</v>
      </c>
      <c r="BS101" s="50">
        <v>198.00000000000068</v>
      </c>
      <c r="BT101" s="518">
        <v>486.5</v>
      </c>
      <c r="BU101" s="470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0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0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0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0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0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0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0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0"/>
      <c r="DJ101" s="50">
        <v>0</v>
      </c>
      <c r="DK101" s="50">
        <v>0</v>
      </c>
      <c r="DL101" s="50">
        <v>0</v>
      </c>
      <c r="DM101" s="50">
        <v>0</v>
      </c>
      <c r="DN101" s="470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0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0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0"/>
      <c r="ED101" s="50">
        <v>0</v>
      </c>
      <c r="EE101" s="50">
        <v>0</v>
      </c>
      <c r="EF101" s="50">
        <v>0</v>
      </c>
      <c r="EG101" s="50">
        <v>0</v>
      </c>
      <c r="EH101" s="470"/>
      <c r="EI101" s="50">
        <v>0</v>
      </c>
      <c r="EJ101" s="50">
        <v>0</v>
      </c>
      <c r="EK101" s="50">
        <v>235.42500000000109</v>
      </c>
      <c r="EL101" s="50">
        <v>180</v>
      </c>
      <c r="EM101" s="470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0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0"/>
      <c r="EX101" s="50">
        <v>0</v>
      </c>
      <c r="EY101" s="50">
        <v>0</v>
      </c>
      <c r="EZ101" s="50">
        <v>0</v>
      </c>
      <c r="FA101" s="50">
        <v>205.99999999999272</v>
      </c>
      <c r="FB101" s="470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0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0"/>
      <c r="FM101" s="50">
        <v>0</v>
      </c>
      <c r="FN101" s="50">
        <v>0</v>
      </c>
      <c r="FO101" s="50">
        <v>0</v>
      </c>
      <c r="FP101" s="50">
        <v>256.69999999998981</v>
      </c>
      <c r="FQ101" s="470"/>
      <c r="FR101" s="50">
        <v>0</v>
      </c>
      <c r="FS101" s="50">
        <v>0</v>
      </c>
      <c r="FT101" s="50">
        <v>0</v>
      </c>
      <c r="FU101" s="50">
        <v>375.19999999998981</v>
      </c>
      <c r="FV101" s="470"/>
      <c r="FW101" s="50">
        <v>0</v>
      </c>
      <c r="FX101" s="50">
        <v>0</v>
      </c>
      <c r="FY101" s="50">
        <v>0</v>
      </c>
      <c r="FZ101" s="50">
        <v>0</v>
      </c>
      <c r="GA101" s="470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0"/>
      <c r="GG101" s="50">
        <v>0</v>
      </c>
      <c r="GH101" s="50">
        <v>0</v>
      </c>
      <c r="GI101" s="50">
        <v>0</v>
      </c>
      <c r="GJ101" s="50">
        <v>0</v>
      </c>
      <c r="GK101" s="470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0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0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57606.499999999629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0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0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0"/>
      <c r="S102" s="458">
        <v>40.125000000000114</v>
      </c>
      <c r="T102" s="50">
        <v>69.999999999999886</v>
      </c>
      <c r="U102" s="508">
        <v>143.25</v>
      </c>
      <c r="V102" s="50">
        <f>'Punten per wedstrijd'!F101</f>
        <v>284.20000000000005</v>
      </c>
      <c r="W102" s="470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0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70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0"/>
      <c r="AM102" s="458">
        <v>118.87500000000011</v>
      </c>
      <c r="AN102" s="458">
        <v>193.54999999999995</v>
      </c>
      <c r="AO102" s="458">
        <v>277.95000000000027</v>
      </c>
      <c r="AP102" s="50">
        <v>418.30000000000109</v>
      </c>
      <c r="AQ102" s="470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70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70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70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70"/>
      <c r="BL102" s="50">
        <v>0</v>
      </c>
      <c r="BM102" s="50">
        <v>2.7999999999992724</v>
      </c>
      <c r="BN102" s="50">
        <v>247.64999999999918</v>
      </c>
      <c r="BO102" s="518">
        <v>113.5</v>
      </c>
      <c r="BP102" s="470"/>
      <c r="BQ102" s="50">
        <v>63.875</v>
      </c>
      <c r="BR102" s="50">
        <v>122.45000000000027</v>
      </c>
      <c r="BS102" s="50">
        <v>206.99999999999932</v>
      </c>
      <c r="BT102" s="518">
        <v>477.70000000000255</v>
      </c>
      <c r="BU102" s="470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0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0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0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0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0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0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0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0"/>
      <c r="DJ102" s="50">
        <v>148.900000000001</v>
      </c>
      <c r="DK102" s="50">
        <v>0</v>
      </c>
      <c r="DL102" s="50">
        <v>0</v>
      </c>
      <c r="DM102" s="50">
        <v>0</v>
      </c>
      <c r="DN102" s="470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0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0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0"/>
      <c r="ED102" s="50">
        <v>63.000000000001364</v>
      </c>
      <c r="EE102" s="50">
        <v>0</v>
      </c>
      <c r="EF102" s="50">
        <v>0</v>
      </c>
      <c r="EG102" s="50">
        <v>0</v>
      </c>
      <c r="EH102" s="470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0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0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0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0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0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0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0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0"/>
      <c r="FW102" s="50">
        <v>67.349999999999682</v>
      </c>
      <c r="FX102" s="50">
        <v>0</v>
      </c>
      <c r="FY102" s="50">
        <v>0</v>
      </c>
      <c r="FZ102" s="50">
        <v>0</v>
      </c>
      <c r="GA102" s="470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0"/>
      <c r="GG102" s="50">
        <v>154.82499999999982</v>
      </c>
      <c r="GH102" s="50">
        <v>0</v>
      </c>
      <c r="GI102" s="50">
        <v>0</v>
      </c>
      <c r="GJ102" s="50">
        <v>0</v>
      </c>
      <c r="GK102" s="470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0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0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54730.275000000023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0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0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0"/>
      <c r="S103" s="458">
        <v>53.5</v>
      </c>
      <c r="T103" s="50">
        <v>77.849999999999966</v>
      </c>
      <c r="U103" s="508">
        <v>235.12500000000017</v>
      </c>
      <c r="V103" s="50">
        <f>'Punten per wedstrijd'!F102</f>
        <v>181.09999999999991</v>
      </c>
      <c r="W103" s="470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0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70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0"/>
      <c r="AM103" s="458">
        <v>126.20000000000016</v>
      </c>
      <c r="AN103" s="458">
        <v>278.79999999999995</v>
      </c>
      <c r="AO103" s="458">
        <v>303.29999999999973</v>
      </c>
      <c r="AP103" s="50">
        <v>413.99999999999955</v>
      </c>
      <c r="AQ103" s="470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70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70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70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70"/>
      <c r="BL103" s="50">
        <v>0</v>
      </c>
      <c r="BM103" s="50">
        <v>23.950000000000728</v>
      </c>
      <c r="BN103" s="50">
        <v>330.37499999999864</v>
      </c>
      <c r="BO103" s="518">
        <v>171.6</v>
      </c>
      <c r="BP103" s="470"/>
      <c r="BQ103" s="50">
        <v>30.350000000000819</v>
      </c>
      <c r="BR103" s="50">
        <v>163.55000000000109</v>
      </c>
      <c r="BS103" s="50">
        <v>272.47499999999877</v>
      </c>
      <c r="BT103" s="518">
        <v>553.80000000000018</v>
      </c>
      <c r="BU103" s="470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0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0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0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0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0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0"/>
      <c r="CZ103" s="50">
        <v>0</v>
      </c>
      <c r="DA103" s="50">
        <v>0</v>
      </c>
      <c r="DB103" s="50">
        <v>155.99999999999727</v>
      </c>
      <c r="DC103" s="50">
        <v>36</v>
      </c>
      <c r="DD103" s="470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0"/>
      <c r="DJ103" s="50">
        <v>58.875000000000227</v>
      </c>
      <c r="DK103" s="50">
        <v>0</v>
      </c>
      <c r="DL103" s="50">
        <v>0</v>
      </c>
      <c r="DM103" s="50">
        <v>0</v>
      </c>
      <c r="DN103" s="470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0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0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0"/>
      <c r="ED103" s="50">
        <v>48.299999999998818</v>
      </c>
      <c r="EE103" s="50">
        <v>0</v>
      </c>
      <c r="EF103" s="50">
        <v>0</v>
      </c>
      <c r="EG103" s="50">
        <v>0</v>
      </c>
      <c r="EH103" s="470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0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0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0"/>
      <c r="EX103" s="50">
        <v>45.549999999998363</v>
      </c>
      <c r="EY103" s="50">
        <v>0</v>
      </c>
      <c r="EZ103" s="50">
        <v>0</v>
      </c>
      <c r="FA103" s="50">
        <v>351</v>
      </c>
      <c r="FB103" s="470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0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0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0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0"/>
      <c r="FW103" s="50">
        <v>2.1000000000001364</v>
      </c>
      <c r="FX103" s="50">
        <v>0</v>
      </c>
      <c r="FY103" s="50">
        <v>0</v>
      </c>
      <c r="FZ103" s="50">
        <v>0</v>
      </c>
      <c r="GA103" s="470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0"/>
      <c r="GG103" s="50">
        <v>48.050000000002001</v>
      </c>
      <c r="GH103" s="50">
        <v>0</v>
      </c>
      <c r="GI103" s="50">
        <v>0</v>
      </c>
      <c r="GJ103" s="50">
        <v>0</v>
      </c>
      <c r="GK103" s="470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0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0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3374</v>
      </c>
      <c r="B104" s="46">
        <f t="shared" si="2"/>
        <v>4710.1499999999978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0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0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0"/>
      <c r="S104" s="458">
        <v>0</v>
      </c>
      <c r="T104" s="50">
        <v>0</v>
      </c>
      <c r="U104" s="508">
        <v>0</v>
      </c>
      <c r="V104" s="50">
        <f>'Punten per wedstrijd'!F103</f>
        <v>502.7999999999995</v>
      </c>
      <c r="W104" s="470"/>
      <c r="X104" s="50">
        <v>0</v>
      </c>
      <c r="Y104" s="50">
        <v>0</v>
      </c>
      <c r="Z104" s="50">
        <v>0</v>
      </c>
      <c r="AA104" s="50">
        <v>170</v>
      </c>
      <c r="AB104" s="470"/>
      <c r="AC104" s="50">
        <v>0</v>
      </c>
      <c r="AD104" s="50">
        <v>0</v>
      </c>
      <c r="AE104" s="50">
        <v>0</v>
      </c>
      <c r="AF104" s="50">
        <v>664.29999999999927</v>
      </c>
      <c r="AG104" s="470"/>
      <c r="AH104" s="50">
        <v>0</v>
      </c>
      <c r="AI104" s="50">
        <v>0</v>
      </c>
      <c r="AJ104" s="50">
        <v>0</v>
      </c>
      <c r="AK104" s="50">
        <v>262.05000000000064</v>
      </c>
      <c r="AL104" s="470"/>
      <c r="AM104" s="458">
        <v>0</v>
      </c>
      <c r="AN104" s="458">
        <v>0</v>
      </c>
      <c r="AO104" s="458">
        <v>0</v>
      </c>
      <c r="AP104" s="50">
        <v>607.85000000000082</v>
      </c>
      <c r="AQ104" s="470"/>
      <c r="AR104" s="50">
        <v>0</v>
      </c>
      <c r="AS104" s="50">
        <v>0</v>
      </c>
      <c r="AT104" s="50">
        <v>0</v>
      </c>
      <c r="AU104" s="50">
        <v>196.9</v>
      </c>
      <c r="AV104" s="470"/>
      <c r="AW104" s="50">
        <v>0</v>
      </c>
      <c r="AX104" s="50">
        <v>0</v>
      </c>
      <c r="AY104" s="50">
        <v>0</v>
      </c>
      <c r="AZ104" s="50">
        <v>15.199999999998909</v>
      </c>
      <c r="BA104" s="470"/>
      <c r="BB104" s="50">
        <v>0</v>
      </c>
      <c r="BC104" s="50">
        <v>0</v>
      </c>
      <c r="BD104" s="50">
        <v>0</v>
      </c>
      <c r="BE104" s="50">
        <v>496.90000000000003</v>
      </c>
      <c r="BF104" s="470"/>
      <c r="BG104" s="50">
        <v>0</v>
      </c>
      <c r="BH104" s="50">
        <v>0</v>
      </c>
      <c r="BI104" s="50">
        <v>0</v>
      </c>
      <c r="BJ104" s="50">
        <v>325.39999999999998</v>
      </c>
      <c r="BK104" s="470"/>
      <c r="BL104" s="50">
        <v>0</v>
      </c>
      <c r="BM104" s="50">
        <v>0</v>
      </c>
      <c r="BN104" s="50">
        <v>0</v>
      </c>
      <c r="BO104" s="518">
        <v>317.3</v>
      </c>
      <c r="BP104" s="470"/>
      <c r="BQ104" s="50">
        <v>0</v>
      </c>
      <c r="BR104" s="50">
        <v>0</v>
      </c>
      <c r="BS104" s="50">
        <v>0</v>
      </c>
      <c r="BT104" s="518">
        <v>433.94999999999891</v>
      </c>
      <c r="BU104" s="470"/>
      <c r="BV104" s="50"/>
      <c r="BW104" s="50"/>
      <c r="BX104" s="50"/>
      <c r="BY104" s="50"/>
      <c r="BZ104" s="470"/>
      <c r="CA104" s="50"/>
      <c r="CB104" s="50"/>
      <c r="CC104" s="50"/>
      <c r="CD104" s="50"/>
      <c r="CE104" s="470"/>
      <c r="CF104" s="50"/>
      <c r="CG104" s="50"/>
      <c r="CH104" s="50"/>
      <c r="CI104" s="50"/>
      <c r="CJ104" s="470"/>
      <c r="CK104" s="50"/>
      <c r="CL104" s="50"/>
      <c r="CM104" s="50"/>
      <c r="CN104" s="50"/>
      <c r="CO104" s="470"/>
      <c r="CP104" s="50"/>
      <c r="CQ104" s="50"/>
      <c r="CR104" s="50"/>
      <c r="CS104" s="50"/>
      <c r="CT104" s="470"/>
      <c r="CU104" s="50"/>
      <c r="CV104" s="50"/>
      <c r="CW104" s="50"/>
      <c r="CX104" s="50"/>
      <c r="CY104" s="470"/>
      <c r="CZ104" s="50"/>
      <c r="DA104" s="50"/>
      <c r="DB104" s="50"/>
      <c r="DC104" s="50"/>
      <c r="DD104" s="470"/>
      <c r="DE104" s="50"/>
      <c r="DF104" s="50"/>
      <c r="DG104" s="50"/>
      <c r="DH104" s="50"/>
      <c r="DI104" s="470"/>
      <c r="DJ104" s="50"/>
      <c r="DK104" s="50"/>
      <c r="DL104" s="50"/>
      <c r="DM104" s="50"/>
      <c r="DN104" s="470"/>
      <c r="DO104" s="50"/>
      <c r="DP104" s="50"/>
      <c r="DQ104" s="50"/>
      <c r="DR104" s="50"/>
      <c r="DS104" s="470"/>
      <c r="DT104" s="50"/>
      <c r="DU104" s="50"/>
      <c r="DV104" s="50"/>
      <c r="DW104" s="50"/>
      <c r="DX104" s="470"/>
      <c r="DY104" s="50"/>
      <c r="DZ104" s="50"/>
      <c r="EA104" s="50"/>
      <c r="EB104" s="50"/>
      <c r="EC104" s="470"/>
      <c r="ED104" s="50"/>
      <c r="EE104" s="50"/>
      <c r="EF104" s="50"/>
      <c r="EG104" s="50"/>
      <c r="EH104" s="470"/>
      <c r="EI104" s="50"/>
      <c r="EJ104" s="50"/>
      <c r="EK104" s="50"/>
      <c r="EL104" s="50"/>
      <c r="EM104" s="470"/>
      <c r="EN104" s="50"/>
      <c r="EO104" s="50"/>
      <c r="EP104" s="50"/>
      <c r="EQ104" s="50"/>
      <c r="ER104" s="470"/>
      <c r="ES104" s="50"/>
      <c r="ET104" s="50"/>
      <c r="EU104" s="50"/>
      <c r="EV104" s="50"/>
      <c r="EW104" s="470"/>
      <c r="EX104" s="50"/>
      <c r="EY104" s="50"/>
      <c r="EZ104" s="50"/>
      <c r="FA104" s="50"/>
      <c r="FB104" s="470"/>
      <c r="FC104" s="50"/>
      <c r="FD104" s="50"/>
      <c r="FE104" s="50"/>
      <c r="FF104" s="50"/>
      <c r="FG104" s="470"/>
      <c r="FH104" s="50"/>
      <c r="FI104" s="50"/>
      <c r="FJ104" s="50"/>
      <c r="FK104" s="50"/>
      <c r="FL104" s="470"/>
      <c r="FM104" s="50"/>
      <c r="FN104" s="50"/>
      <c r="FO104" s="50"/>
      <c r="FP104" s="50"/>
      <c r="FQ104" s="470"/>
      <c r="FR104" s="50"/>
      <c r="FS104" s="50"/>
      <c r="FT104" s="50"/>
      <c r="FU104" s="50"/>
      <c r="FV104" s="470"/>
      <c r="FW104" s="50"/>
      <c r="FX104" s="50"/>
      <c r="FY104" s="50"/>
      <c r="FZ104" s="50"/>
      <c r="GA104" s="470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2012</v>
      </c>
      <c r="B105" s="46">
        <f t="shared" si="2"/>
        <v>44895.925000000025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0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0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0"/>
      <c r="S105" s="458">
        <v>0</v>
      </c>
      <c r="T105" s="50">
        <v>122.75</v>
      </c>
      <c r="U105" s="508">
        <v>141.75</v>
      </c>
      <c r="V105" s="50">
        <f>'Punten per wedstrijd'!F104</f>
        <v>147.30000000000018</v>
      </c>
      <c r="W105" s="470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0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70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0"/>
      <c r="AM105" s="458">
        <v>0</v>
      </c>
      <c r="AN105" s="458">
        <v>226.150000000001</v>
      </c>
      <c r="AO105" s="458">
        <v>221.58749999999918</v>
      </c>
      <c r="AP105" s="50">
        <v>629.55000000000018</v>
      </c>
      <c r="AQ105" s="470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70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70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70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70"/>
      <c r="BL105" s="50">
        <v>0</v>
      </c>
      <c r="BM105" s="50">
        <v>50.150000000001</v>
      </c>
      <c r="BN105" s="50">
        <v>146.28749999999945</v>
      </c>
      <c r="BO105" s="518">
        <v>211</v>
      </c>
      <c r="BP105" s="470"/>
      <c r="BQ105" s="50">
        <v>0</v>
      </c>
      <c r="BR105" s="50">
        <v>159.80000000000109</v>
      </c>
      <c r="BS105" s="50">
        <v>156.93749999999864</v>
      </c>
      <c r="BT105" s="518">
        <v>669.90000000000327</v>
      </c>
      <c r="BU105" s="470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0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0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0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0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0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0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0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0"/>
      <c r="DJ105" s="50">
        <v>0</v>
      </c>
      <c r="DK105" s="50">
        <v>0</v>
      </c>
      <c r="DL105" s="50">
        <v>0</v>
      </c>
      <c r="DM105" s="50">
        <v>0</v>
      </c>
      <c r="DN105" s="470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0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0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0"/>
      <c r="ED105" s="50">
        <v>0</v>
      </c>
      <c r="EE105" s="50">
        <v>0</v>
      </c>
      <c r="EF105" s="50">
        <v>0</v>
      </c>
      <c r="EG105" s="50">
        <v>0</v>
      </c>
      <c r="EH105" s="470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0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0"/>
      <c r="ES105" s="50">
        <v>0</v>
      </c>
      <c r="ET105" s="50">
        <v>0</v>
      </c>
      <c r="EU105" s="50">
        <v>132.60000000000218</v>
      </c>
      <c r="EV105" s="50">
        <v>0</v>
      </c>
      <c r="EW105" s="470"/>
      <c r="EX105" s="50">
        <v>0</v>
      </c>
      <c r="EY105" s="50">
        <v>0</v>
      </c>
      <c r="EZ105" s="50">
        <v>0</v>
      </c>
      <c r="FA105" s="50">
        <v>247.60000000000946</v>
      </c>
      <c r="FB105" s="470"/>
      <c r="FC105" s="50">
        <v>0</v>
      </c>
      <c r="FD105" s="50">
        <v>0</v>
      </c>
      <c r="FE105" s="50">
        <v>2406.9750000000076</v>
      </c>
      <c r="FF105" s="50">
        <v>3896.5</v>
      </c>
      <c r="FG105" s="470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0"/>
      <c r="FM105" s="50">
        <v>0</v>
      </c>
      <c r="FN105" s="50">
        <v>0</v>
      </c>
      <c r="FO105" s="50">
        <v>0</v>
      </c>
      <c r="FP105" s="50">
        <v>250.00000000000364</v>
      </c>
      <c r="FQ105" s="470"/>
      <c r="FR105" s="50">
        <v>0</v>
      </c>
      <c r="FS105" s="50">
        <v>0</v>
      </c>
      <c r="FT105" s="50">
        <v>0</v>
      </c>
      <c r="FU105" s="50">
        <v>446.89999999999782</v>
      </c>
      <c r="FV105" s="470"/>
      <c r="FW105" s="50">
        <v>0</v>
      </c>
      <c r="FX105" s="50">
        <v>0</v>
      </c>
      <c r="FY105" s="50">
        <v>0</v>
      </c>
      <c r="FZ105" s="50">
        <v>0</v>
      </c>
      <c r="GA105" s="470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0"/>
      <c r="GG105" s="50">
        <v>0</v>
      </c>
      <c r="GH105" s="50">
        <v>0</v>
      </c>
      <c r="GI105" s="50">
        <v>0</v>
      </c>
      <c r="GJ105" s="50">
        <v>0</v>
      </c>
      <c r="GK105" s="470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0"/>
      <c r="GQ105" s="50">
        <v>0</v>
      </c>
      <c r="GR105" s="50">
        <v>0</v>
      </c>
      <c r="GS105" s="50">
        <v>178.125</v>
      </c>
      <c r="GT105" s="50">
        <v>350.49999999999636</v>
      </c>
      <c r="GU105" s="470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8"/>
      <c r="T106" s="50"/>
      <c r="U106" s="50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8"/>
      <c r="AN106" s="458"/>
      <c r="AO106" s="458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0"/>
      <c r="GG106" s="50"/>
      <c r="GH106" s="50"/>
      <c r="GI106" s="50"/>
      <c r="GJ106" s="50"/>
      <c r="GK106" s="470"/>
      <c r="GL106" s="50"/>
      <c r="GM106" s="50"/>
      <c r="GN106" s="50"/>
      <c r="GO106" s="50"/>
      <c r="GP106" s="470"/>
      <c r="GQ106" s="50"/>
      <c r="GR106" s="50"/>
      <c r="GS106" s="50"/>
      <c r="GT106" s="50"/>
      <c r="GU106" s="470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36967.375000000218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0"/>
      <c r="I107" s="50">
        <v>79.599999999999994</v>
      </c>
      <c r="J107" s="50">
        <v>0</v>
      </c>
      <c r="K107" s="50">
        <v>0</v>
      </c>
      <c r="L107" s="50">
        <v>0</v>
      </c>
      <c r="M107" s="470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0"/>
      <c r="S107" s="458">
        <v>30.424999999999955</v>
      </c>
      <c r="T107" s="50">
        <v>2.1000000000000227</v>
      </c>
      <c r="U107" s="508">
        <v>199.87499999999983</v>
      </c>
      <c r="V107" s="50">
        <v>0</v>
      </c>
      <c r="W107" s="470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0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0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0"/>
      <c r="AM107" s="458">
        <v>124.625</v>
      </c>
      <c r="AN107" s="458">
        <v>248.59999999999991</v>
      </c>
      <c r="AO107" s="458">
        <v>317.4375</v>
      </c>
      <c r="AP107" s="50">
        <v>0</v>
      </c>
      <c r="AQ107" s="470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70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70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70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70"/>
      <c r="BL107" s="50">
        <v>0</v>
      </c>
      <c r="BM107" s="50">
        <v>100.5</v>
      </c>
      <c r="BN107" s="50">
        <v>178.50000000000148</v>
      </c>
      <c r="BO107" s="50">
        <v>0</v>
      </c>
      <c r="BP107" s="470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70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0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0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0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0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0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0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0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0"/>
      <c r="DJ107" s="50">
        <v>77.900000000000546</v>
      </c>
      <c r="DK107" s="50">
        <v>0</v>
      </c>
      <c r="DL107" s="50">
        <v>0</v>
      </c>
      <c r="DM107" s="50">
        <v>0</v>
      </c>
      <c r="DN107" s="470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0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0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0"/>
      <c r="ED107" s="50">
        <v>31.374999999999091</v>
      </c>
      <c r="EE107" s="50">
        <v>0</v>
      </c>
      <c r="EF107" s="50">
        <v>0</v>
      </c>
      <c r="EG107" s="50">
        <v>0</v>
      </c>
      <c r="EH107" s="470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0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0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0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0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0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0"/>
      <c r="FM107" s="50">
        <v>134.625</v>
      </c>
      <c r="FN107" s="50">
        <v>0</v>
      </c>
      <c r="FO107" s="50">
        <v>0</v>
      </c>
      <c r="FP107" s="50">
        <v>132.99999999999636</v>
      </c>
      <c r="FQ107" s="470"/>
      <c r="FR107" s="50">
        <v>60.274999999999636</v>
      </c>
      <c r="FS107" s="50">
        <v>0</v>
      </c>
      <c r="FT107" s="50">
        <v>0</v>
      </c>
      <c r="FU107" s="50">
        <v>317.5</v>
      </c>
      <c r="FV107" s="470"/>
      <c r="FW107" s="50">
        <v>37.949999999999818</v>
      </c>
      <c r="FX107" s="50">
        <v>0</v>
      </c>
      <c r="FY107" s="50">
        <v>0</v>
      </c>
      <c r="FZ107" s="50">
        <v>0</v>
      </c>
      <c r="GA107" s="470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0"/>
      <c r="GG107" s="50">
        <v>32.125</v>
      </c>
      <c r="GH107" s="50">
        <v>0</v>
      </c>
      <c r="GI107" s="50">
        <v>0</v>
      </c>
      <c r="GJ107" s="50">
        <v>0</v>
      </c>
      <c r="GK107" s="470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0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0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2013</v>
      </c>
      <c r="B108" s="46">
        <f t="shared" si="3"/>
        <v>34079.212499999958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0"/>
      <c r="I108" s="50">
        <v>0</v>
      </c>
      <c r="J108" s="50">
        <v>0</v>
      </c>
      <c r="K108" s="50">
        <v>0</v>
      </c>
      <c r="L108" s="50">
        <v>0</v>
      </c>
      <c r="M108" s="470"/>
      <c r="N108" s="50">
        <v>0</v>
      </c>
      <c r="O108" s="50">
        <v>296.30000000000007</v>
      </c>
      <c r="P108" s="50">
        <v>403.05000000000024</v>
      </c>
      <c r="Q108" s="50">
        <v>0</v>
      </c>
      <c r="R108" s="470"/>
      <c r="S108" s="458">
        <v>0</v>
      </c>
      <c r="T108" s="50">
        <v>132.14999999999998</v>
      </c>
      <c r="U108" s="508">
        <v>261.90000000000038</v>
      </c>
      <c r="V108" s="50">
        <v>0</v>
      </c>
      <c r="W108" s="470"/>
      <c r="X108" s="50">
        <v>0</v>
      </c>
      <c r="Y108" s="50">
        <v>339.64999999999975</v>
      </c>
      <c r="Z108" s="50">
        <v>344.7750000000002</v>
      </c>
      <c r="AA108" s="50">
        <v>0</v>
      </c>
      <c r="AB108" s="470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0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0"/>
      <c r="AM108" s="458">
        <v>0</v>
      </c>
      <c r="AN108" s="458">
        <v>328.44999999999914</v>
      </c>
      <c r="AO108" s="458">
        <v>283.42500000000041</v>
      </c>
      <c r="AP108" s="50">
        <v>0</v>
      </c>
      <c r="AQ108" s="470"/>
      <c r="AR108" s="50">
        <v>0</v>
      </c>
      <c r="AS108" s="50">
        <v>133.49999999999955</v>
      </c>
      <c r="AT108" s="50">
        <v>327</v>
      </c>
      <c r="AU108" s="50">
        <v>0</v>
      </c>
      <c r="AV108" s="470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70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70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70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70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70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0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0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0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0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0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0"/>
      <c r="CZ108" s="50">
        <v>0</v>
      </c>
      <c r="DA108" s="50">
        <v>0</v>
      </c>
      <c r="DB108" s="50">
        <v>180.75</v>
      </c>
      <c r="DC108" s="50">
        <v>179.99999999999636</v>
      </c>
      <c r="DD108" s="470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0"/>
      <c r="DJ108" s="50">
        <v>0</v>
      </c>
      <c r="DK108" s="50">
        <v>0</v>
      </c>
      <c r="DL108" s="50">
        <v>0</v>
      </c>
      <c r="DM108" s="50">
        <v>0</v>
      </c>
      <c r="DN108" s="470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0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0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0"/>
      <c r="ED108" s="50">
        <v>0</v>
      </c>
      <c r="EE108" s="50">
        <v>0</v>
      </c>
      <c r="EF108" s="50">
        <v>0</v>
      </c>
      <c r="EG108" s="50">
        <v>0</v>
      </c>
      <c r="EH108" s="470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0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0"/>
      <c r="ES108" s="50">
        <v>0</v>
      </c>
      <c r="ET108" s="50">
        <v>0</v>
      </c>
      <c r="EU108" s="50">
        <v>301.20000000000437</v>
      </c>
      <c r="EV108" s="50">
        <v>0</v>
      </c>
      <c r="EW108" s="470"/>
      <c r="EX108" s="50">
        <v>0</v>
      </c>
      <c r="EY108" s="50">
        <v>0</v>
      </c>
      <c r="EZ108" s="50">
        <v>0</v>
      </c>
      <c r="FA108" s="50">
        <v>235.70000000000073</v>
      </c>
      <c r="FB108" s="470"/>
      <c r="FC108" s="50">
        <v>0</v>
      </c>
      <c r="FD108" s="50">
        <v>0</v>
      </c>
      <c r="FE108" s="50">
        <v>1894.2750000000278</v>
      </c>
      <c r="FF108" s="50">
        <v>3365.2</v>
      </c>
      <c r="FG108" s="470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0"/>
      <c r="FM108" s="50">
        <v>0</v>
      </c>
      <c r="FN108" s="50">
        <v>0</v>
      </c>
      <c r="FO108" s="50">
        <v>0</v>
      </c>
      <c r="FP108" s="50">
        <v>161.79999999999927</v>
      </c>
      <c r="FQ108" s="470"/>
      <c r="FR108" s="50">
        <v>0</v>
      </c>
      <c r="FS108" s="50">
        <v>0</v>
      </c>
      <c r="FT108" s="50">
        <v>0</v>
      </c>
      <c r="FU108" s="50">
        <v>415.5</v>
      </c>
      <c r="FV108" s="470"/>
      <c r="FW108" s="50">
        <v>0</v>
      </c>
      <c r="FX108" s="50">
        <v>0</v>
      </c>
      <c r="FY108" s="50">
        <v>0</v>
      </c>
      <c r="FZ108" s="50">
        <v>0</v>
      </c>
      <c r="GA108" s="470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0"/>
      <c r="GG108" s="50">
        <v>0</v>
      </c>
      <c r="GH108" s="50">
        <v>0</v>
      </c>
      <c r="GI108" s="50">
        <v>0</v>
      </c>
      <c r="GJ108" s="50">
        <v>0</v>
      </c>
      <c r="GK108" s="470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0"/>
      <c r="GQ108" s="50">
        <v>0</v>
      </c>
      <c r="GR108" s="50">
        <v>0</v>
      </c>
      <c r="GS108" s="50">
        <v>240</v>
      </c>
      <c r="GT108" s="50">
        <v>213.99999999998545</v>
      </c>
      <c r="GU108" s="470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9502.8000000000247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0"/>
      <c r="I109" s="50">
        <v>82.374999999999986</v>
      </c>
      <c r="J109" s="50">
        <v>0</v>
      </c>
      <c r="K109" s="50">
        <v>0</v>
      </c>
      <c r="L109" s="50">
        <v>0</v>
      </c>
      <c r="M109" s="470"/>
      <c r="N109" s="50">
        <v>99.299999999999955</v>
      </c>
      <c r="O109" s="50">
        <v>0</v>
      </c>
      <c r="P109" s="50">
        <v>0</v>
      </c>
      <c r="Q109" s="50">
        <v>0</v>
      </c>
      <c r="R109" s="470"/>
      <c r="S109" s="458">
        <v>37.77499999999992</v>
      </c>
      <c r="T109" s="50">
        <v>0</v>
      </c>
      <c r="U109" s="508">
        <v>0</v>
      </c>
      <c r="V109" s="50">
        <v>0</v>
      </c>
      <c r="W109" s="470"/>
      <c r="X109" s="50">
        <v>69.824999999999932</v>
      </c>
      <c r="Y109" s="50">
        <v>0</v>
      </c>
      <c r="Z109" s="50">
        <v>0</v>
      </c>
      <c r="AA109" s="50">
        <v>0</v>
      </c>
      <c r="AB109" s="470"/>
      <c r="AC109" s="50">
        <v>48.724999999999802</v>
      </c>
      <c r="AD109" s="50">
        <v>0</v>
      </c>
      <c r="AE109" s="50">
        <v>0</v>
      </c>
      <c r="AF109" s="50">
        <v>0</v>
      </c>
      <c r="AG109" s="470"/>
      <c r="AH109" s="50">
        <v>75.025000000000091</v>
      </c>
      <c r="AI109" s="50">
        <v>0</v>
      </c>
      <c r="AJ109" s="50">
        <v>0</v>
      </c>
      <c r="AK109" s="50">
        <v>0</v>
      </c>
      <c r="AL109" s="470"/>
      <c r="AM109" s="458">
        <v>109.39999999999986</v>
      </c>
      <c r="AN109" s="458">
        <v>0</v>
      </c>
      <c r="AO109" s="458">
        <v>0</v>
      </c>
      <c r="AP109" s="50">
        <v>0</v>
      </c>
      <c r="AQ109" s="470"/>
      <c r="AR109" s="50">
        <v>47.174999999998818</v>
      </c>
      <c r="AS109" s="50">
        <v>0</v>
      </c>
      <c r="AT109" s="50">
        <v>0</v>
      </c>
      <c r="AU109" s="50">
        <v>0</v>
      </c>
      <c r="AV109" s="470"/>
      <c r="AW109" s="50">
        <v>0</v>
      </c>
      <c r="AX109" s="50">
        <v>0</v>
      </c>
      <c r="AY109" s="50">
        <v>0</v>
      </c>
      <c r="AZ109" s="50">
        <v>0</v>
      </c>
      <c r="BA109" s="470"/>
      <c r="BB109" s="50">
        <v>0</v>
      </c>
      <c r="BC109" s="50">
        <v>0</v>
      </c>
      <c r="BD109" s="50">
        <v>0</v>
      </c>
      <c r="BE109" s="50">
        <v>0</v>
      </c>
      <c r="BF109" s="470"/>
      <c r="BG109" s="50">
        <v>81.199999999998909</v>
      </c>
      <c r="BH109" s="50">
        <v>0</v>
      </c>
      <c r="BI109" s="50">
        <v>0</v>
      </c>
      <c r="BJ109" s="50">
        <v>0</v>
      </c>
      <c r="BK109" s="470"/>
      <c r="BL109" s="50">
        <v>0</v>
      </c>
      <c r="BM109" s="50">
        <v>0</v>
      </c>
      <c r="BN109" s="50">
        <v>0</v>
      </c>
      <c r="BO109" s="50">
        <v>0</v>
      </c>
      <c r="BP109" s="470"/>
      <c r="BQ109" s="50">
        <v>125.49999999999909</v>
      </c>
      <c r="BR109" s="50">
        <v>0</v>
      </c>
      <c r="BS109" s="50">
        <v>0</v>
      </c>
      <c r="BT109" s="50">
        <v>0</v>
      </c>
      <c r="BU109" s="470"/>
      <c r="BV109" s="50">
        <v>120.5125000000005</v>
      </c>
      <c r="BW109" s="50">
        <v>0</v>
      </c>
      <c r="BX109" s="50">
        <v>0</v>
      </c>
      <c r="BY109" s="50">
        <v>0</v>
      </c>
      <c r="BZ109" s="470"/>
      <c r="CA109" s="50">
        <v>107.12500000000068</v>
      </c>
      <c r="CB109" s="50">
        <v>0</v>
      </c>
      <c r="CC109" s="50">
        <v>0</v>
      </c>
      <c r="CD109" s="50">
        <v>0</v>
      </c>
      <c r="CE109" s="470"/>
      <c r="CF109" s="50">
        <v>150.087500000001</v>
      </c>
      <c r="CG109" s="50">
        <v>0</v>
      </c>
      <c r="CH109" s="50">
        <v>0</v>
      </c>
      <c r="CI109" s="50">
        <v>0</v>
      </c>
      <c r="CJ109" s="470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0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0"/>
      <c r="CU109" s="50">
        <v>70.750000000000909</v>
      </c>
      <c r="CV109" s="50">
        <v>0</v>
      </c>
      <c r="CW109" s="50">
        <v>0</v>
      </c>
      <c r="CX109" s="50">
        <v>0</v>
      </c>
      <c r="CY109" s="470"/>
      <c r="CZ109" s="50">
        <v>52.975000000001273</v>
      </c>
      <c r="DA109" s="50">
        <v>0</v>
      </c>
      <c r="DB109" s="50">
        <v>0</v>
      </c>
      <c r="DC109" s="50">
        <v>0</v>
      </c>
      <c r="DD109" s="470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0"/>
      <c r="DJ109" s="50">
        <v>45.450000000001182</v>
      </c>
      <c r="DK109" s="50">
        <v>0</v>
      </c>
      <c r="DL109" s="50">
        <v>0</v>
      </c>
      <c r="DM109" s="50">
        <v>0</v>
      </c>
      <c r="DN109" s="470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0"/>
      <c r="DT109" s="50">
        <v>102.52500000000191</v>
      </c>
      <c r="DU109" s="50">
        <v>0</v>
      </c>
      <c r="DV109" s="50">
        <v>0</v>
      </c>
      <c r="DW109" s="50">
        <v>0</v>
      </c>
      <c r="DX109" s="470"/>
      <c r="DY109" s="50">
        <v>716.68750000000091</v>
      </c>
      <c r="DZ109" s="50">
        <v>1683.625</v>
      </c>
      <c r="EA109" s="50">
        <v>0</v>
      </c>
      <c r="EB109" s="50">
        <v>0</v>
      </c>
      <c r="EC109" s="470"/>
      <c r="ED109" s="50">
        <v>75.125000000000909</v>
      </c>
      <c r="EE109" s="50">
        <v>0</v>
      </c>
      <c r="EF109" s="50">
        <v>0</v>
      </c>
      <c r="EG109" s="50">
        <v>0</v>
      </c>
      <c r="EH109" s="470"/>
      <c r="EI109" s="50">
        <v>24.875</v>
      </c>
      <c r="EJ109" s="50">
        <v>0</v>
      </c>
      <c r="EK109" s="50">
        <v>0</v>
      </c>
      <c r="EL109" s="50">
        <v>0</v>
      </c>
      <c r="EM109" s="470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0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0"/>
      <c r="EX109" s="50">
        <v>109.72500000000218</v>
      </c>
      <c r="EY109" s="50">
        <v>0</v>
      </c>
      <c r="EZ109" s="50">
        <v>0</v>
      </c>
      <c r="FA109" s="50">
        <v>0</v>
      </c>
      <c r="FB109" s="470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0"/>
      <c r="FH109" s="50">
        <v>52.400000000001455</v>
      </c>
      <c r="FI109" s="50">
        <v>0</v>
      </c>
      <c r="FJ109" s="50">
        <v>0</v>
      </c>
      <c r="FK109" s="50">
        <v>0</v>
      </c>
      <c r="FL109" s="470"/>
      <c r="FM109" s="50">
        <v>119.32500000000255</v>
      </c>
      <c r="FN109" s="50">
        <v>0</v>
      </c>
      <c r="FO109" s="50">
        <v>0</v>
      </c>
      <c r="FP109" s="50">
        <v>0</v>
      </c>
      <c r="FQ109" s="470"/>
      <c r="FR109" s="50">
        <v>21.400000000001455</v>
      </c>
      <c r="FS109" s="50">
        <v>0</v>
      </c>
      <c r="FT109" s="50">
        <v>0</v>
      </c>
      <c r="FU109" s="50">
        <v>0</v>
      </c>
      <c r="FV109" s="470"/>
      <c r="FW109" s="50">
        <v>3.7500000000004547</v>
      </c>
      <c r="FX109" s="50">
        <v>0</v>
      </c>
      <c r="FY109" s="50">
        <v>0</v>
      </c>
      <c r="FZ109" s="50">
        <v>0</v>
      </c>
      <c r="GA109" s="470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0"/>
      <c r="GG109" s="50">
        <v>74.675000000000182</v>
      </c>
      <c r="GH109" s="50">
        <v>0</v>
      </c>
      <c r="GI109" s="50">
        <v>0</v>
      </c>
      <c r="GJ109" s="50">
        <v>0</v>
      </c>
      <c r="GK109" s="470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0"/>
      <c r="GQ109" s="50">
        <v>62.500000000003638</v>
      </c>
      <c r="GR109" s="50">
        <v>148</v>
      </c>
      <c r="GS109" s="50">
        <v>0</v>
      </c>
      <c r="GT109" s="50">
        <v>0</v>
      </c>
      <c r="GU109" s="470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8560.2124999999978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0"/>
      <c r="I110" s="50">
        <v>12.5</v>
      </c>
      <c r="J110" s="50">
        <v>0</v>
      </c>
      <c r="K110" s="50">
        <v>0</v>
      </c>
      <c r="L110" s="50">
        <v>0</v>
      </c>
      <c r="M110" s="470"/>
      <c r="N110" s="50">
        <v>81.674999999999955</v>
      </c>
      <c r="O110" s="50">
        <v>0</v>
      </c>
      <c r="P110" s="50">
        <v>0</v>
      </c>
      <c r="Q110" s="50">
        <v>0</v>
      </c>
      <c r="R110" s="470"/>
      <c r="S110" s="458">
        <v>26.249999999999943</v>
      </c>
      <c r="T110" s="50">
        <v>0</v>
      </c>
      <c r="U110" s="508">
        <v>0</v>
      </c>
      <c r="V110" s="50">
        <v>0</v>
      </c>
      <c r="W110" s="470"/>
      <c r="X110" s="50">
        <v>86.624999999999886</v>
      </c>
      <c r="Y110" s="50">
        <v>0</v>
      </c>
      <c r="Z110" s="50">
        <v>0</v>
      </c>
      <c r="AA110" s="50">
        <v>0</v>
      </c>
      <c r="AB110" s="470"/>
      <c r="AC110" s="50">
        <v>89.224999999999852</v>
      </c>
      <c r="AD110" s="50">
        <v>0</v>
      </c>
      <c r="AE110" s="50">
        <v>0</v>
      </c>
      <c r="AF110" s="50">
        <v>0</v>
      </c>
      <c r="AG110" s="470"/>
      <c r="AH110" s="50">
        <v>24.800000000000182</v>
      </c>
      <c r="AI110" s="50">
        <v>0</v>
      </c>
      <c r="AJ110" s="50">
        <v>0</v>
      </c>
      <c r="AK110" s="50">
        <v>0</v>
      </c>
      <c r="AL110" s="470"/>
      <c r="AM110" s="458">
        <v>74.174999999999955</v>
      </c>
      <c r="AN110" s="458">
        <v>0</v>
      </c>
      <c r="AO110" s="458">
        <v>0</v>
      </c>
      <c r="AP110" s="50">
        <v>0</v>
      </c>
      <c r="AQ110" s="470"/>
      <c r="AR110" s="50">
        <v>19.625</v>
      </c>
      <c r="AS110" s="50">
        <v>0</v>
      </c>
      <c r="AT110" s="50">
        <v>0</v>
      </c>
      <c r="AU110" s="50">
        <v>0</v>
      </c>
      <c r="AV110" s="470"/>
      <c r="AW110" s="50">
        <v>0</v>
      </c>
      <c r="AX110" s="50">
        <v>0</v>
      </c>
      <c r="AY110" s="50">
        <v>0</v>
      </c>
      <c r="AZ110" s="50">
        <v>0</v>
      </c>
      <c r="BA110" s="470"/>
      <c r="BB110" s="50">
        <v>0</v>
      </c>
      <c r="BC110" s="50">
        <v>0</v>
      </c>
      <c r="BD110" s="50">
        <v>0</v>
      </c>
      <c r="BE110" s="50">
        <v>0</v>
      </c>
      <c r="BF110" s="470"/>
      <c r="BG110" s="50">
        <v>46.125</v>
      </c>
      <c r="BH110" s="50">
        <v>0</v>
      </c>
      <c r="BI110" s="50">
        <v>0</v>
      </c>
      <c r="BJ110" s="50">
        <v>0</v>
      </c>
      <c r="BK110" s="470"/>
      <c r="BL110" s="50">
        <v>0</v>
      </c>
      <c r="BM110" s="50">
        <v>0</v>
      </c>
      <c r="BN110" s="50">
        <v>0</v>
      </c>
      <c r="BO110" s="50">
        <v>0</v>
      </c>
      <c r="BP110" s="470"/>
      <c r="BQ110" s="50">
        <v>71.25</v>
      </c>
      <c r="BR110" s="50">
        <v>0</v>
      </c>
      <c r="BS110" s="50">
        <v>0</v>
      </c>
      <c r="BT110" s="50">
        <v>0</v>
      </c>
      <c r="BU110" s="470"/>
      <c r="BV110" s="50">
        <v>61.249999999999545</v>
      </c>
      <c r="BW110" s="50">
        <v>0</v>
      </c>
      <c r="BX110" s="50">
        <v>0</v>
      </c>
      <c r="BY110" s="50">
        <v>0</v>
      </c>
      <c r="BZ110" s="470"/>
      <c r="CA110" s="50">
        <v>29.224999999999909</v>
      </c>
      <c r="CB110" s="50">
        <v>0</v>
      </c>
      <c r="CC110" s="50">
        <v>0</v>
      </c>
      <c r="CD110" s="50">
        <v>0</v>
      </c>
      <c r="CE110" s="470"/>
      <c r="CF110" s="50">
        <v>111.69999999999959</v>
      </c>
      <c r="CG110" s="50">
        <v>0</v>
      </c>
      <c r="CH110" s="50">
        <v>0</v>
      </c>
      <c r="CI110" s="50">
        <v>0</v>
      </c>
      <c r="CJ110" s="470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0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0"/>
      <c r="CU110" s="50">
        <v>59.324999999999136</v>
      </c>
      <c r="CV110" s="50">
        <v>0</v>
      </c>
      <c r="CW110" s="50">
        <v>0</v>
      </c>
      <c r="CX110" s="50">
        <v>0</v>
      </c>
      <c r="CY110" s="470"/>
      <c r="CZ110" s="50">
        <v>72.124999999999545</v>
      </c>
      <c r="DA110" s="50">
        <v>0</v>
      </c>
      <c r="DB110" s="50">
        <v>0</v>
      </c>
      <c r="DC110" s="50">
        <v>0</v>
      </c>
      <c r="DD110" s="470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0"/>
      <c r="DJ110" s="50">
        <v>69.324999999999363</v>
      </c>
      <c r="DK110" s="50">
        <v>0</v>
      </c>
      <c r="DL110" s="50">
        <v>0</v>
      </c>
      <c r="DM110" s="50">
        <v>0</v>
      </c>
      <c r="DN110" s="470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0"/>
      <c r="DT110" s="50">
        <v>150.07500000000027</v>
      </c>
      <c r="DU110" s="50">
        <v>0</v>
      </c>
      <c r="DV110" s="50">
        <v>0</v>
      </c>
      <c r="DW110" s="50">
        <v>0</v>
      </c>
      <c r="DX110" s="470"/>
      <c r="DY110" s="50">
        <v>468.125</v>
      </c>
      <c r="DZ110" s="50">
        <v>1286.4000000000005</v>
      </c>
      <c r="EA110" s="50">
        <v>0</v>
      </c>
      <c r="EB110" s="50">
        <v>0</v>
      </c>
      <c r="EC110" s="470"/>
      <c r="ED110" s="50">
        <v>41.674999999999727</v>
      </c>
      <c r="EE110" s="50">
        <v>0</v>
      </c>
      <c r="EF110" s="50">
        <v>0</v>
      </c>
      <c r="EG110" s="50">
        <v>0</v>
      </c>
      <c r="EH110" s="470"/>
      <c r="EI110" s="50">
        <v>33.899999999999636</v>
      </c>
      <c r="EJ110" s="50">
        <v>0</v>
      </c>
      <c r="EK110" s="50">
        <v>0</v>
      </c>
      <c r="EL110" s="50">
        <v>0</v>
      </c>
      <c r="EM110" s="470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0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0"/>
      <c r="EX110" s="50">
        <v>85.75</v>
      </c>
      <c r="EY110" s="50">
        <v>0</v>
      </c>
      <c r="EZ110" s="50">
        <v>0</v>
      </c>
      <c r="FA110" s="50">
        <v>0</v>
      </c>
      <c r="FB110" s="470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0"/>
      <c r="FH110" s="50">
        <v>33.5</v>
      </c>
      <c r="FI110" s="50">
        <v>72</v>
      </c>
      <c r="FJ110" s="50">
        <v>0</v>
      </c>
      <c r="FK110" s="50">
        <v>0</v>
      </c>
      <c r="FL110" s="470"/>
      <c r="FM110" s="50">
        <v>147.125</v>
      </c>
      <c r="FN110" s="50">
        <v>0</v>
      </c>
      <c r="FO110" s="50">
        <v>0</v>
      </c>
      <c r="FP110" s="50">
        <v>0</v>
      </c>
      <c r="FQ110" s="470"/>
      <c r="FR110" s="50">
        <v>96.700000000000273</v>
      </c>
      <c r="FS110" s="50">
        <v>0</v>
      </c>
      <c r="FT110" s="50">
        <v>0</v>
      </c>
      <c r="FU110" s="50">
        <v>0</v>
      </c>
      <c r="FV110" s="470"/>
      <c r="FW110" s="50">
        <v>9.4249999999994998</v>
      </c>
      <c r="FX110" s="50">
        <v>0</v>
      </c>
      <c r="FY110" s="50">
        <v>0</v>
      </c>
      <c r="FZ110" s="50">
        <v>0</v>
      </c>
      <c r="GA110" s="470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0"/>
      <c r="GG110" s="50">
        <v>18.250000000001819</v>
      </c>
      <c r="GH110" s="50">
        <v>0</v>
      </c>
      <c r="GI110" s="50">
        <v>0</v>
      </c>
      <c r="GJ110" s="50">
        <v>0</v>
      </c>
      <c r="GK110" s="470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0"/>
      <c r="GQ110" s="50">
        <v>46.875000000000909</v>
      </c>
      <c r="GR110" s="50">
        <v>108.25</v>
      </c>
      <c r="GS110" s="50">
        <v>0</v>
      </c>
      <c r="GT110" s="50">
        <v>0</v>
      </c>
      <c r="GU110" s="470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25301.212499999987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0"/>
      <c r="I111" s="50">
        <v>53.874999999999972</v>
      </c>
      <c r="J111" s="50">
        <v>0</v>
      </c>
      <c r="K111" s="50">
        <v>0</v>
      </c>
      <c r="L111" s="50">
        <v>0</v>
      </c>
      <c r="M111" s="470"/>
      <c r="N111" s="50">
        <v>145.77499999999992</v>
      </c>
      <c r="O111" s="50">
        <v>376.09999999999991</v>
      </c>
      <c r="P111" s="50">
        <v>0</v>
      </c>
      <c r="Q111" s="50">
        <v>0</v>
      </c>
      <c r="R111" s="470"/>
      <c r="S111" s="458">
        <v>26.39999999999992</v>
      </c>
      <c r="T111" s="50">
        <v>165.70000000000005</v>
      </c>
      <c r="U111" s="508">
        <v>0</v>
      </c>
      <c r="V111" s="50">
        <v>0</v>
      </c>
      <c r="W111" s="470"/>
      <c r="X111" s="50">
        <v>56.174999999999955</v>
      </c>
      <c r="Y111" s="50">
        <v>363.49999999999983</v>
      </c>
      <c r="Z111" s="50">
        <v>0</v>
      </c>
      <c r="AA111" s="50">
        <v>0</v>
      </c>
      <c r="AB111" s="470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0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0"/>
      <c r="AM111" s="458">
        <v>70.375000000000114</v>
      </c>
      <c r="AN111" s="458">
        <v>232.85000000000036</v>
      </c>
      <c r="AO111" s="458">
        <v>0</v>
      </c>
      <c r="AP111" s="50">
        <v>0</v>
      </c>
      <c r="AQ111" s="470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70"/>
      <c r="AW111" s="50">
        <v>0</v>
      </c>
      <c r="AX111" s="50">
        <v>285.10000000000036</v>
      </c>
      <c r="AY111" s="50">
        <v>0</v>
      </c>
      <c r="AZ111" s="50">
        <v>0</v>
      </c>
      <c r="BA111" s="470"/>
      <c r="BB111" s="50">
        <v>0</v>
      </c>
      <c r="BC111" s="50">
        <v>166.25</v>
      </c>
      <c r="BD111" s="50">
        <v>0</v>
      </c>
      <c r="BE111" s="50">
        <v>0</v>
      </c>
      <c r="BF111" s="470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70"/>
      <c r="BL111" s="50">
        <v>0</v>
      </c>
      <c r="BM111" s="50">
        <v>111.25</v>
      </c>
      <c r="BN111" s="50">
        <v>0</v>
      </c>
      <c r="BO111" s="50">
        <v>0</v>
      </c>
      <c r="BP111" s="470"/>
      <c r="BQ111" s="50">
        <v>70.375</v>
      </c>
      <c r="BR111" s="50">
        <v>250.39999999999964</v>
      </c>
      <c r="BS111" s="50">
        <v>0</v>
      </c>
      <c r="BT111" s="50">
        <v>0</v>
      </c>
      <c r="BU111" s="470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0"/>
      <c r="CA111" s="50">
        <v>54.825000000000045</v>
      </c>
      <c r="CB111" s="50">
        <v>0</v>
      </c>
      <c r="CC111" s="50">
        <v>248.625</v>
      </c>
      <c r="CD111" s="50">
        <v>0</v>
      </c>
      <c r="CE111" s="470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0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0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0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0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0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0"/>
      <c r="DJ111" s="50">
        <v>89.449999999998909</v>
      </c>
      <c r="DK111" s="50">
        <v>0</v>
      </c>
      <c r="DL111" s="50">
        <v>0</v>
      </c>
      <c r="DM111" s="50">
        <v>0</v>
      </c>
      <c r="DN111" s="470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0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0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0"/>
      <c r="ED111" s="50">
        <v>101.80000000000155</v>
      </c>
      <c r="EE111" s="50">
        <v>0</v>
      </c>
      <c r="EF111" s="50">
        <v>0</v>
      </c>
      <c r="EG111" s="50">
        <v>0</v>
      </c>
      <c r="EH111" s="470"/>
      <c r="EI111" s="50">
        <v>31.125000000000455</v>
      </c>
      <c r="EJ111" s="50">
        <v>0</v>
      </c>
      <c r="EK111" s="50">
        <v>109.875</v>
      </c>
      <c r="EL111" s="50">
        <v>0</v>
      </c>
      <c r="EM111" s="470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0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0"/>
      <c r="EX111" s="50">
        <v>105.15000000000236</v>
      </c>
      <c r="EY111" s="50">
        <v>0</v>
      </c>
      <c r="EZ111" s="50">
        <v>0</v>
      </c>
      <c r="FA111" s="50">
        <v>0</v>
      </c>
      <c r="FB111" s="470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0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0"/>
      <c r="FM111" s="50">
        <v>108.62500000000364</v>
      </c>
      <c r="FN111" s="50">
        <v>0</v>
      </c>
      <c r="FO111" s="50">
        <v>0</v>
      </c>
      <c r="FP111" s="50">
        <v>0</v>
      </c>
      <c r="FQ111" s="470"/>
      <c r="FR111" s="50">
        <v>61.400000000003274</v>
      </c>
      <c r="FS111" s="50">
        <v>0</v>
      </c>
      <c r="FT111" s="50">
        <v>0</v>
      </c>
      <c r="FU111" s="50">
        <v>0</v>
      </c>
      <c r="FV111" s="470"/>
      <c r="FW111" s="50">
        <v>34.450000000000045</v>
      </c>
      <c r="FX111" s="50">
        <v>0</v>
      </c>
      <c r="FY111" s="50">
        <v>0</v>
      </c>
      <c r="FZ111" s="50">
        <v>0</v>
      </c>
      <c r="GA111" s="470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0"/>
      <c r="GG111" s="50">
        <v>91.650000000002365</v>
      </c>
      <c r="GH111" s="50">
        <v>0</v>
      </c>
      <c r="GI111" s="50">
        <v>0</v>
      </c>
      <c r="GJ111" s="50">
        <v>0</v>
      </c>
      <c r="GK111" s="470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0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0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2008</v>
      </c>
      <c r="B112" s="46">
        <f t="shared" si="3"/>
        <v>13790.974999999858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0"/>
      <c r="I112" s="50">
        <v>0</v>
      </c>
      <c r="J112" s="50">
        <v>0</v>
      </c>
      <c r="K112" s="50">
        <v>0</v>
      </c>
      <c r="L112" s="50">
        <v>0</v>
      </c>
      <c r="M112" s="470"/>
      <c r="N112" s="50">
        <v>0</v>
      </c>
      <c r="O112" s="50">
        <v>212.60000000000002</v>
      </c>
      <c r="P112" s="50">
        <v>0</v>
      </c>
      <c r="Q112" s="50">
        <v>0</v>
      </c>
      <c r="R112" s="470"/>
      <c r="S112" s="458">
        <v>0</v>
      </c>
      <c r="T112" s="50">
        <v>28.100000000000023</v>
      </c>
      <c r="U112" s="508">
        <v>0</v>
      </c>
      <c r="V112" s="50">
        <v>0</v>
      </c>
      <c r="W112" s="470"/>
      <c r="X112" s="50">
        <v>0</v>
      </c>
      <c r="Y112" s="50">
        <v>290.49999999999989</v>
      </c>
      <c r="Z112" s="50">
        <v>0</v>
      </c>
      <c r="AA112" s="50">
        <v>0</v>
      </c>
      <c r="AB112" s="470"/>
      <c r="AC112" s="50">
        <v>0</v>
      </c>
      <c r="AD112" s="50">
        <v>316.04999999999984</v>
      </c>
      <c r="AE112" s="50">
        <v>0</v>
      </c>
      <c r="AF112" s="50">
        <v>0</v>
      </c>
      <c r="AG112" s="470"/>
      <c r="AH112" s="50">
        <v>0</v>
      </c>
      <c r="AI112" s="50">
        <v>372.80000000000018</v>
      </c>
      <c r="AJ112" s="50">
        <v>0</v>
      </c>
      <c r="AK112" s="50">
        <v>0</v>
      </c>
      <c r="AL112" s="470"/>
      <c r="AM112" s="458">
        <v>0</v>
      </c>
      <c r="AN112" s="458">
        <v>282.89999999999964</v>
      </c>
      <c r="AO112" s="458">
        <v>0</v>
      </c>
      <c r="AP112" s="50">
        <v>0</v>
      </c>
      <c r="AQ112" s="470"/>
      <c r="AR112" s="50">
        <v>0</v>
      </c>
      <c r="AS112" s="50">
        <v>140.74999999999977</v>
      </c>
      <c r="AT112" s="50">
        <v>0</v>
      </c>
      <c r="AU112" s="50">
        <v>0</v>
      </c>
      <c r="AV112" s="470"/>
      <c r="AW112" s="50">
        <v>0</v>
      </c>
      <c r="AX112" s="50">
        <v>184.00000000000045</v>
      </c>
      <c r="AY112" s="50">
        <v>0</v>
      </c>
      <c r="AZ112" s="50">
        <v>0</v>
      </c>
      <c r="BA112" s="470"/>
      <c r="BB112" s="50">
        <v>0</v>
      </c>
      <c r="BC112" s="50">
        <v>94.349999999999909</v>
      </c>
      <c r="BD112" s="50">
        <v>0</v>
      </c>
      <c r="BE112" s="50">
        <v>0</v>
      </c>
      <c r="BF112" s="470"/>
      <c r="BG112" s="50">
        <v>0</v>
      </c>
      <c r="BH112" s="50">
        <v>187.50000000000045</v>
      </c>
      <c r="BI112" s="50">
        <v>0</v>
      </c>
      <c r="BJ112" s="50">
        <v>0</v>
      </c>
      <c r="BK112" s="470"/>
      <c r="BL112" s="50">
        <v>0</v>
      </c>
      <c r="BM112" s="50">
        <v>7.0000000000004547</v>
      </c>
      <c r="BN112" s="50">
        <v>0</v>
      </c>
      <c r="BO112" s="50">
        <v>0</v>
      </c>
      <c r="BP112" s="470"/>
      <c r="BQ112" s="50">
        <v>0</v>
      </c>
      <c r="BR112" s="50">
        <v>126.14999999999964</v>
      </c>
      <c r="BS112" s="50">
        <v>0</v>
      </c>
      <c r="BT112" s="50">
        <v>0</v>
      </c>
      <c r="BU112" s="470"/>
      <c r="BV112" s="50">
        <v>0</v>
      </c>
      <c r="BW112" s="50">
        <v>0</v>
      </c>
      <c r="BX112" s="50">
        <v>379.5</v>
      </c>
      <c r="BY112" s="50">
        <v>0</v>
      </c>
      <c r="BZ112" s="470"/>
      <c r="CA112" s="50">
        <v>0</v>
      </c>
      <c r="CB112" s="50">
        <v>0</v>
      </c>
      <c r="CC112" s="50">
        <v>274.12500000000273</v>
      </c>
      <c r="CD112" s="50">
        <v>0</v>
      </c>
      <c r="CE112" s="470"/>
      <c r="CF112" s="50">
        <v>0</v>
      </c>
      <c r="CG112" s="50">
        <v>0</v>
      </c>
      <c r="CH112" s="50">
        <v>297.97499999999945</v>
      </c>
      <c r="CI112" s="50">
        <v>0</v>
      </c>
      <c r="CJ112" s="470"/>
      <c r="CK112" s="50">
        <v>0</v>
      </c>
      <c r="CL112" s="50">
        <v>0</v>
      </c>
      <c r="CM112" s="50">
        <v>301.125</v>
      </c>
      <c r="CN112" s="50">
        <v>0</v>
      </c>
      <c r="CO112" s="470"/>
      <c r="CP112" s="50">
        <v>0</v>
      </c>
      <c r="CQ112" s="50">
        <v>0</v>
      </c>
      <c r="CR112" s="50">
        <v>290.77500000000191</v>
      </c>
      <c r="CS112" s="50">
        <v>0</v>
      </c>
      <c r="CT112" s="470"/>
      <c r="CU112" s="50">
        <v>0</v>
      </c>
      <c r="CV112" s="50">
        <v>0</v>
      </c>
      <c r="CW112" s="50">
        <v>209.47500000000082</v>
      </c>
      <c r="CX112" s="50">
        <v>0</v>
      </c>
      <c r="CY112" s="470"/>
      <c r="CZ112" s="50">
        <v>0</v>
      </c>
      <c r="DA112" s="50">
        <v>0</v>
      </c>
      <c r="DB112" s="50">
        <v>68.249999999997272</v>
      </c>
      <c r="DC112" s="50">
        <v>0</v>
      </c>
      <c r="DD112" s="470"/>
      <c r="DE112" s="50">
        <v>0</v>
      </c>
      <c r="DF112" s="50">
        <v>0</v>
      </c>
      <c r="DG112" s="50">
        <v>1966.349999999996</v>
      </c>
      <c r="DH112" s="50">
        <v>0</v>
      </c>
      <c r="DI112" s="470"/>
      <c r="DJ112" s="50">
        <v>0</v>
      </c>
      <c r="DK112" s="50">
        <v>0</v>
      </c>
      <c r="DL112" s="50">
        <v>0</v>
      </c>
      <c r="DM112" s="50">
        <v>0</v>
      </c>
      <c r="DN112" s="470"/>
      <c r="DO112" s="50">
        <v>0</v>
      </c>
      <c r="DP112" s="50">
        <v>0</v>
      </c>
      <c r="DQ112" s="50">
        <v>361.87499999999591</v>
      </c>
      <c r="DR112" s="50">
        <v>0</v>
      </c>
      <c r="DS112" s="470"/>
      <c r="DT112" s="50">
        <v>0</v>
      </c>
      <c r="DU112" s="50">
        <v>0</v>
      </c>
      <c r="DV112" s="50">
        <v>286.34999999999536</v>
      </c>
      <c r="DW112" s="50">
        <v>0</v>
      </c>
      <c r="DX112" s="470"/>
      <c r="DY112" s="50">
        <v>0</v>
      </c>
      <c r="DZ112" s="50">
        <v>0</v>
      </c>
      <c r="EA112" s="50">
        <v>1843.7999999999233</v>
      </c>
      <c r="EB112" s="50">
        <v>0</v>
      </c>
      <c r="EC112" s="470"/>
      <c r="ED112" s="50">
        <v>0</v>
      </c>
      <c r="EE112" s="50">
        <v>0</v>
      </c>
      <c r="EF112" s="50">
        <v>0</v>
      </c>
      <c r="EG112" s="50">
        <v>0</v>
      </c>
      <c r="EH112" s="470"/>
      <c r="EI112" s="50">
        <v>0</v>
      </c>
      <c r="EJ112" s="50">
        <v>0</v>
      </c>
      <c r="EK112" s="50">
        <v>277.34999999999809</v>
      </c>
      <c r="EL112" s="50">
        <v>0</v>
      </c>
      <c r="EM112" s="470"/>
      <c r="EN112" s="50">
        <v>0</v>
      </c>
      <c r="EO112" s="50">
        <v>0</v>
      </c>
      <c r="EP112" s="50">
        <v>294.22499999999945</v>
      </c>
      <c r="EQ112" s="50">
        <v>0</v>
      </c>
      <c r="ER112" s="470"/>
      <c r="ES112" s="50">
        <v>0</v>
      </c>
      <c r="ET112" s="50">
        <v>0</v>
      </c>
      <c r="EU112" s="50">
        <v>439.57500000000164</v>
      </c>
      <c r="EV112" s="50">
        <v>0</v>
      </c>
      <c r="EW112" s="470"/>
      <c r="EX112" s="50">
        <v>0</v>
      </c>
      <c r="EY112" s="50">
        <v>0</v>
      </c>
      <c r="EZ112" s="50">
        <v>0</v>
      </c>
      <c r="FA112" s="50">
        <v>0</v>
      </c>
      <c r="FB112" s="470"/>
      <c r="FC112" s="50">
        <v>0</v>
      </c>
      <c r="FD112" s="50">
        <v>0</v>
      </c>
      <c r="FE112" s="50">
        <v>1921.2749999999569</v>
      </c>
      <c r="FF112" s="50">
        <v>0</v>
      </c>
      <c r="FG112" s="470"/>
      <c r="FH112" s="50">
        <v>0</v>
      </c>
      <c r="FI112" s="50">
        <v>0</v>
      </c>
      <c r="FJ112" s="50">
        <v>147.00000000000273</v>
      </c>
      <c r="FK112" s="50">
        <v>0</v>
      </c>
      <c r="FL112" s="470"/>
      <c r="FM112" s="50">
        <v>0</v>
      </c>
      <c r="FN112" s="50">
        <v>0</v>
      </c>
      <c r="FO112" s="50">
        <v>0</v>
      </c>
      <c r="FP112" s="50">
        <v>0</v>
      </c>
      <c r="FQ112" s="470"/>
      <c r="FR112" s="50">
        <v>0</v>
      </c>
      <c r="FS112" s="50">
        <v>0</v>
      </c>
      <c r="FT112" s="50">
        <v>0</v>
      </c>
      <c r="FU112" s="50">
        <v>0</v>
      </c>
      <c r="FV112" s="470"/>
      <c r="FW112" s="50">
        <v>0</v>
      </c>
      <c r="FX112" s="50">
        <v>0</v>
      </c>
      <c r="FY112" s="50">
        <v>0</v>
      </c>
      <c r="FZ112" s="50">
        <v>0</v>
      </c>
      <c r="GA112" s="470"/>
      <c r="GB112" s="50">
        <v>0</v>
      </c>
      <c r="GC112" s="50">
        <v>0</v>
      </c>
      <c r="GD112" s="50">
        <v>194.69999999999891</v>
      </c>
      <c r="GE112" s="50">
        <v>0</v>
      </c>
      <c r="GF112" s="470"/>
      <c r="GG112" s="50">
        <v>0</v>
      </c>
      <c r="GH112" s="50">
        <v>0</v>
      </c>
      <c r="GI112" s="50">
        <v>0</v>
      </c>
      <c r="GJ112" s="50">
        <v>0</v>
      </c>
      <c r="GK112" s="470"/>
      <c r="GL112" s="50">
        <v>0</v>
      </c>
      <c r="GM112" s="50">
        <v>0</v>
      </c>
      <c r="GN112" s="50">
        <v>817.94999999999891</v>
      </c>
      <c r="GO112" s="50">
        <v>0</v>
      </c>
      <c r="GP112" s="470"/>
      <c r="GQ112" s="50">
        <v>0</v>
      </c>
      <c r="GR112" s="50">
        <v>0</v>
      </c>
      <c r="GS112" s="50">
        <v>268.49999999999454</v>
      </c>
      <c r="GT112" s="50">
        <v>0</v>
      </c>
      <c r="GU112" s="470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10769.225000000002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0"/>
      <c r="I113" s="50">
        <v>50.624999999999943</v>
      </c>
      <c r="J113" s="50">
        <v>0</v>
      </c>
      <c r="K113" s="50">
        <v>0</v>
      </c>
      <c r="L113" s="50">
        <v>0</v>
      </c>
      <c r="M113" s="470"/>
      <c r="N113" s="50">
        <v>61.249999999999943</v>
      </c>
      <c r="O113" s="50">
        <v>0</v>
      </c>
      <c r="P113" s="50">
        <v>0</v>
      </c>
      <c r="Q113" s="50">
        <v>0</v>
      </c>
      <c r="R113" s="470"/>
      <c r="S113" s="458">
        <v>93.25</v>
      </c>
      <c r="T113" s="50">
        <v>0</v>
      </c>
      <c r="U113" s="508">
        <v>0</v>
      </c>
      <c r="V113" s="50">
        <v>0</v>
      </c>
      <c r="W113" s="470"/>
      <c r="X113" s="50">
        <v>51.299999999999955</v>
      </c>
      <c r="Y113" s="50">
        <v>0</v>
      </c>
      <c r="Z113" s="50">
        <v>0</v>
      </c>
      <c r="AA113" s="50">
        <v>0</v>
      </c>
      <c r="AB113" s="470"/>
      <c r="AC113" s="50">
        <v>84.975000000000023</v>
      </c>
      <c r="AD113" s="50">
        <v>0</v>
      </c>
      <c r="AE113" s="50">
        <v>0</v>
      </c>
      <c r="AF113" s="50">
        <v>0</v>
      </c>
      <c r="AG113" s="470"/>
      <c r="AH113" s="50">
        <v>84.774999999999849</v>
      </c>
      <c r="AI113" s="50">
        <v>0</v>
      </c>
      <c r="AJ113" s="50">
        <v>0</v>
      </c>
      <c r="AK113" s="50">
        <v>0</v>
      </c>
      <c r="AL113" s="470"/>
      <c r="AM113" s="458">
        <v>96.775000000000091</v>
      </c>
      <c r="AN113" s="458">
        <v>0</v>
      </c>
      <c r="AO113" s="458">
        <v>0</v>
      </c>
      <c r="AP113" s="50">
        <v>0</v>
      </c>
      <c r="AQ113" s="470"/>
      <c r="AR113" s="50">
        <v>39.825000000000273</v>
      </c>
      <c r="AS113" s="50">
        <v>0</v>
      </c>
      <c r="AT113" s="50">
        <v>0</v>
      </c>
      <c r="AU113" s="50">
        <v>0</v>
      </c>
      <c r="AV113" s="470"/>
      <c r="AW113" s="50">
        <v>0</v>
      </c>
      <c r="AX113" s="50">
        <v>0</v>
      </c>
      <c r="AY113" s="50">
        <v>0</v>
      </c>
      <c r="AZ113" s="50">
        <v>0</v>
      </c>
      <c r="BA113" s="470"/>
      <c r="BB113" s="50">
        <v>0</v>
      </c>
      <c r="BC113" s="50">
        <v>0</v>
      </c>
      <c r="BD113" s="50">
        <v>0</v>
      </c>
      <c r="BE113" s="50">
        <v>0</v>
      </c>
      <c r="BF113" s="470"/>
      <c r="BG113" s="50">
        <v>112.77500000000009</v>
      </c>
      <c r="BH113" s="50">
        <v>0</v>
      </c>
      <c r="BI113" s="50">
        <v>0</v>
      </c>
      <c r="BJ113" s="50">
        <v>0</v>
      </c>
      <c r="BK113" s="470"/>
      <c r="BL113" s="50">
        <v>0</v>
      </c>
      <c r="BM113" s="50">
        <v>0</v>
      </c>
      <c r="BN113" s="50">
        <v>0</v>
      </c>
      <c r="BO113" s="50">
        <v>0</v>
      </c>
      <c r="BP113" s="470"/>
      <c r="BQ113" s="50">
        <v>110.94999999999982</v>
      </c>
      <c r="BR113" s="50">
        <v>0</v>
      </c>
      <c r="BS113" s="50">
        <v>0</v>
      </c>
      <c r="BT113" s="50">
        <v>0</v>
      </c>
      <c r="BU113" s="470"/>
      <c r="BV113" s="50">
        <v>26.274999999999409</v>
      </c>
      <c r="BW113" s="50">
        <v>0</v>
      </c>
      <c r="BX113" s="50">
        <v>0</v>
      </c>
      <c r="BY113" s="50">
        <v>0</v>
      </c>
      <c r="BZ113" s="470"/>
      <c r="CA113" s="50">
        <v>62.937499999999318</v>
      </c>
      <c r="CB113" s="50">
        <v>0</v>
      </c>
      <c r="CC113" s="50">
        <v>0</v>
      </c>
      <c r="CD113" s="50">
        <v>0</v>
      </c>
      <c r="CE113" s="470"/>
      <c r="CF113" s="50">
        <v>114.87499999999977</v>
      </c>
      <c r="CG113" s="50">
        <v>0</v>
      </c>
      <c r="CH113" s="50">
        <v>0</v>
      </c>
      <c r="CI113" s="50">
        <v>0</v>
      </c>
      <c r="CJ113" s="470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0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0"/>
      <c r="CU113" s="50">
        <v>81.900000000000546</v>
      </c>
      <c r="CV113" s="50">
        <v>0</v>
      </c>
      <c r="CW113" s="50">
        <v>0</v>
      </c>
      <c r="CX113" s="50">
        <v>0</v>
      </c>
      <c r="CY113" s="470"/>
      <c r="CZ113" s="50">
        <v>89.875</v>
      </c>
      <c r="DA113" s="50">
        <v>0</v>
      </c>
      <c r="DB113" s="50">
        <v>0</v>
      </c>
      <c r="DC113" s="50">
        <v>0</v>
      </c>
      <c r="DD113" s="470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0"/>
      <c r="DJ113" s="50">
        <v>43.712500000000546</v>
      </c>
      <c r="DK113" s="50">
        <v>0</v>
      </c>
      <c r="DL113" s="50">
        <v>0</v>
      </c>
      <c r="DM113" s="50">
        <v>0</v>
      </c>
      <c r="DN113" s="470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0"/>
      <c r="DT113" s="50">
        <v>254.00000000000045</v>
      </c>
      <c r="DU113" s="50">
        <v>0</v>
      </c>
      <c r="DV113" s="50">
        <v>0</v>
      </c>
      <c r="DW113" s="50">
        <v>0</v>
      </c>
      <c r="DX113" s="470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0"/>
      <c r="ED113" s="50">
        <v>95.874999999999091</v>
      </c>
      <c r="EE113" s="50">
        <v>0</v>
      </c>
      <c r="EF113" s="50">
        <v>0</v>
      </c>
      <c r="EG113" s="50">
        <v>0</v>
      </c>
      <c r="EH113" s="470"/>
      <c r="EI113" s="50">
        <v>18.725000000000364</v>
      </c>
      <c r="EJ113" s="50">
        <v>0</v>
      </c>
      <c r="EK113" s="50">
        <v>0</v>
      </c>
      <c r="EL113" s="50">
        <v>0</v>
      </c>
      <c r="EM113" s="470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0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0"/>
      <c r="EX113" s="50">
        <v>126.08750000000236</v>
      </c>
      <c r="EY113" s="50">
        <v>0</v>
      </c>
      <c r="EZ113" s="50">
        <v>0</v>
      </c>
      <c r="FA113" s="50">
        <v>0</v>
      </c>
      <c r="FB113" s="470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0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0"/>
      <c r="FM113" s="50">
        <v>113.30000000000109</v>
      </c>
      <c r="FN113" s="50">
        <v>0</v>
      </c>
      <c r="FO113" s="50">
        <v>0</v>
      </c>
      <c r="FP113" s="50">
        <v>0</v>
      </c>
      <c r="FQ113" s="470"/>
      <c r="FR113" s="50">
        <v>7.9125000000012733</v>
      </c>
      <c r="FS113" s="50">
        <v>0</v>
      </c>
      <c r="FT113" s="50">
        <v>0</v>
      </c>
      <c r="FU113" s="50">
        <v>0</v>
      </c>
      <c r="FV113" s="470"/>
      <c r="FW113" s="50">
        <v>23.2999999999995</v>
      </c>
      <c r="FX113" s="50">
        <v>0</v>
      </c>
      <c r="FY113" s="50">
        <v>0</v>
      </c>
      <c r="FZ113" s="50">
        <v>0</v>
      </c>
      <c r="GA113" s="470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0"/>
      <c r="GG113" s="50">
        <v>115.12500000000273</v>
      </c>
      <c r="GH113" s="50">
        <v>0</v>
      </c>
      <c r="GI113" s="50">
        <v>0</v>
      </c>
      <c r="GJ113" s="50">
        <v>0</v>
      </c>
      <c r="GK113" s="470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0"/>
      <c r="GQ113" s="50">
        <v>84.250000000000909</v>
      </c>
      <c r="GR113" s="50">
        <v>124.25</v>
      </c>
      <c r="GS113" s="50">
        <v>0</v>
      </c>
      <c r="GT113" s="50">
        <v>0</v>
      </c>
      <c r="GU113" s="470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3389.2624999999825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0"/>
      <c r="I114" s="50">
        <v>0</v>
      </c>
      <c r="J114" s="50">
        <v>0</v>
      </c>
      <c r="K114" s="50">
        <v>0</v>
      </c>
      <c r="L114" s="50">
        <v>0</v>
      </c>
      <c r="M114" s="470"/>
      <c r="N114" s="50">
        <v>0</v>
      </c>
      <c r="O114" s="50">
        <v>0</v>
      </c>
      <c r="P114" s="50">
        <v>0</v>
      </c>
      <c r="Q114" s="50">
        <v>0</v>
      </c>
      <c r="R114" s="470"/>
      <c r="S114" s="458">
        <v>0</v>
      </c>
      <c r="T114" s="50">
        <v>0</v>
      </c>
      <c r="U114" s="508">
        <v>0</v>
      </c>
      <c r="V114" s="50">
        <v>0</v>
      </c>
      <c r="W114" s="470"/>
      <c r="X114" s="50">
        <v>0</v>
      </c>
      <c r="Y114" s="50">
        <v>0</v>
      </c>
      <c r="Z114" s="50">
        <v>0</v>
      </c>
      <c r="AA114" s="50">
        <v>0</v>
      </c>
      <c r="AB114" s="470"/>
      <c r="AC114" s="50">
        <v>0</v>
      </c>
      <c r="AD114" s="50">
        <v>0</v>
      </c>
      <c r="AE114" s="50">
        <v>0</v>
      </c>
      <c r="AF114" s="50">
        <v>0</v>
      </c>
      <c r="AG114" s="470"/>
      <c r="AH114" s="50">
        <v>0</v>
      </c>
      <c r="AI114" s="50">
        <v>0</v>
      </c>
      <c r="AJ114" s="50">
        <v>0</v>
      </c>
      <c r="AK114" s="50">
        <v>0</v>
      </c>
      <c r="AL114" s="470"/>
      <c r="AM114" s="458">
        <v>0</v>
      </c>
      <c r="AN114" s="458">
        <v>0</v>
      </c>
      <c r="AO114" s="458">
        <v>0</v>
      </c>
      <c r="AP114" s="50">
        <v>0</v>
      </c>
      <c r="AQ114" s="470"/>
      <c r="AR114" s="50">
        <v>0</v>
      </c>
      <c r="AS114" s="50">
        <v>0</v>
      </c>
      <c r="AT114" s="50">
        <v>0</v>
      </c>
      <c r="AU114" s="50">
        <v>0</v>
      </c>
      <c r="AV114" s="470"/>
      <c r="AW114" s="50">
        <v>0</v>
      </c>
      <c r="AX114" s="50">
        <v>0</v>
      </c>
      <c r="AY114" s="50">
        <v>0</v>
      </c>
      <c r="AZ114" s="50">
        <v>0</v>
      </c>
      <c r="BA114" s="470"/>
      <c r="BB114" s="50">
        <v>0</v>
      </c>
      <c r="BC114" s="50">
        <v>0</v>
      </c>
      <c r="BD114" s="50">
        <v>0</v>
      </c>
      <c r="BE114" s="50">
        <v>0</v>
      </c>
      <c r="BF114" s="470"/>
      <c r="BG114" s="50">
        <v>0</v>
      </c>
      <c r="BH114" s="50">
        <v>0</v>
      </c>
      <c r="BI114" s="50">
        <v>0</v>
      </c>
      <c r="BJ114" s="50">
        <v>0</v>
      </c>
      <c r="BK114" s="470"/>
      <c r="BL114" s="50">
        <v>0</v>
      </c>
      <c r="BM114" s="50">
        <v>0</v>
      </c>
      <c r="BN114" s="50">
        <v>0</v>
      </c>
      <c r="BO114" s="50">
        <v>0</v>
      </c>
      <c r="BP114" s="470"/>
      <c r="BQ114" s="50">
        <v>0</v>
      </c>
      <c r="BR114" s="50">
        <v>0</v>
      </c>
      <c r="BS114" s="50">
        <v>0</v>
      </c>
      <c r="BT114" s="50">
        <v>0</v>
      </c>
      <c r="BU114" s="470"/>
      <c r="BV114" s="50">
        <v>28.074999999999818</v>
      </c>
      <c r="BW114" s="50">
        <v>0</v>
      </c>
      <c r="BX114" s="50">
        <v>0</v>
      </c>
      <c r="BY114" s="50">
        <v>0</v>
      </c>
      <c r="BZ114" s="470"/>
      <c r="CA114" s="50">
        <v>100.03749999999991</v>
      </c>
      <c r="CB114" s="50">
        <v>0</v>
      </c>
      <c r="CC114" s="50">
        <v>0</v>
      </c>
      <c r="CD114" s="50">
        <v>0</v>
      </c>
      <c r="CE114" s="470"/>
      <c r="CF114" s="50">
        <v>35.862499999999955</v>
      </c>
      <c r="CG114" s="50">
        <v>0</v>
      </c>
      <c r="CH114" s="50">
        <v>0</v>
      </c>
      <c r="CI114" s="50">
        <v>0</v>
      </c>
      <c r="CJ114" s="470"/>
      <c r="CK114" s="50">
        <v>28.375</v>
      </c>
      <c r="CL114" s="50">
        <v>0</v>
      </c>
      <c r="CM114" s="50">
        <v>0</v>
      </c>
      <c r="CN114" s="50">
        <v>0</v>
      </c>
      <c r="CO114" s="470"/>
      <c r="CP114" s="50">
        <v>43.875000000000227</v>
      </c>
      <c r="CQ114" s="50">
        <v>0</v>
      </c>
      <c r="CR114" s="50">
        <v>0</v>
      </c>
      <c r="CS114" s="50">
        <v>0</v>
      </c>
      <c r="CT114" s="470"/>
      <c r="CU114" s="50">
        <v>99.825000000000045</v>
      </c>
      <c r="CV114" s="50">
        <v>0</v>
      </c>
      <c r="CW114" s="50">
        <v>0</v>
      </c>
      <c r="CX114" s="50">
        <v>0</v>
      </c>
      <c r="CY114" s="470"/>
      <c r="CZ114" s="50">
        <v>61.700000000000273</v>
      </c>
      <c r="DA114" s="50">
        <v>0</v>
      </c>
      <c r="DB114" s="50">
        <v>0</v>
      </c>
      <c r="DC114" s="50">
        <v>0</v>
      </c>
      <c r="DD114" s="470"/>
      <c r="DE114" s="50">
        <v>526.97499999999877</v>
      </c>
      <c r="DF114" s="50">
        <v>0</v>
      </c>
      <c r="DG114" s="50">
        <v>0</v>
      </c>
      <c r="DH114" s="50">
        <v>0</v>
      </c>
      <c r="DI114" s="470"/>
      <c r="DJ114" s="50">
        <v>46.074999999999818</v>
      </c>
      <c r="DK114" s="50">
        <v>0</v>
      </c>
      <c r="DL114" s="50">
        <v>0</v>
      </c>
      <c r="DM114" s="50">
        <v>0</v>
      </c>
      <c r="DN114" s="470"/>
      <c r="DO114" s="50">
        <v>116.02499999999827</v>
      </c>
      <c r="DP114" s="50">
        <v>0</v>
      </c>
      <c r="DQ114" s="50">
        <v>0</v>
      </c>
      <c r="DR114" s="50">
        <v>0</v>
      </c>
      <c r="DS114" s="470"/>
      <c r="DT114" s="50">
        <v>124.89999999999873</v>
      </c>
      <c r="DU114" s="50">
        <v>0</v>
      </c>
      <c r="DV114" s="50">
        <v>0</v>
      </c>
      <c r="DW114" s="50">
        <v>0</v>
      </c>
      <c r="DX114" s="470"/>
      <c r="DY114" s="50">
        <v>538.724999999999</v>
      </c>
      <c r="DZ114" s="50">
        <v>0</v>
      </c>
      <c r="EA114" s="50">
        <v>0</v>
      </c>
      <c r="EB114" s="50">
        <v>0</v>
      </c>
      <c r="EC114" s="470"/>
      <c r="ED114" s="50">
        <v>89.249999999998636</v>
      </c>
      <c r="EE114" s="50">
        <v>0</v>
      </c>
      <c r="EF114" s="50">
        <v>0</v>
      </c>
      <c r="EG114" s="50">
        <v>0</v>
      </c>
      <c r="EH114" s="470"/>
      <c r="EI114" s="50">
        <v>65.524999999998727</v>
      </c>
      <c r="EJ114" s="50">
        <v>0</v>
      </c>
      <c r="EK114" s="50">
        <v>0</v>
      </c>
      <c r="EL114" s="50">
        <v>0</v>
      </c>
      <c r="EM114" s="470"/>
      <c r="EN114" s="50">
        <v>72.099999999999</v>
      </c>
      <c r="EO114" s="50">
        <v>0</v>
      </c>
      <c r="EP114" s="50">
        <v>0</v>
      </c>
      <c r="EQ114" s="50">
        <v>0</v>
      </c>
      <c r="ER114" s="470"/>
      <c r="ES114" s="50">
        <v>105.62499999999909</v>
      </c>
      <c r="ET114" s="50">
        <v>0</v>
      </c>
      <c r="EU114" s="50">
        <v>0</v>
      </c>
      <c r="EV114" s="50">
        <v>0</v>
      </c>
      <c r="EW114" s="470"/>
      <c r="EX114" s="50">
        <v>66.774999999999636</v>
      </c>
      <c r="EY114" s="50">
        <v>0</v>
      </c>
      <c r="EZ114" s="50">
        <v>0</v>
      </c>
      <c r="FA114" s="50">
        <v>0</v>
      </c>
      <c r="FB114" s="470"/>
      <c r="FC114" s="50">
        <v>692.19999999999891</v>
      </c>
      <c r="FD114" s="50">
        <v>0</v>
      </c>
      <c r="FE114" s="50">
        <v>0</v>
      </c>
      <c r="FF114" s="50">
        <v>0</v>
      </c>
      <c r="FG114" s="470"/>
      <c r="FH114" s="50">
        <v>47.112499999999272</v>
      </c>
      <c r="FI114" s="50">
        <v>0</v>
      </c>
      <c r="FJ114" s="50">
        <v>0</v>
      </c>
      <c r="FK114" s="50">
        <v>0</v>
      </c>
      <c r="FL114" s="470"/>
      <c r="FM114" s="50">
        <v>123.63749999999891</v>
      </c>
      <c r="FN114" s="50">
        <v>0</v>
      </c>
      <c r="FO114" s="50">
        <v>0</v>
      </c>
      <c r="FP114" s="50">
        <v>0</v>
      </c>
      <c r="FQ114" s="470"/>
      <c r="FR114" s="50">
        <v>58.599999999999454</v>
      </c>
      <c r="FS114" s="50">
        <v>0</v>
      </c>
      <c r="FT114" s="50">
        <v>0</v>
      </c>
      <c r="FU114" s="50">
        <v>0</v>
      </c>
      <c r="FV114" s="470"/>
      <c r="FW114" s="50">
        <v>49.375000000000227</v>
      </c>
      <c r="FX114" s="50">
        <v>0</v>
      </c>
      <c r="FY114" s="50">
        <v>0</v>
      </c>
      <c r="FZ114" s="50">
        <v>0</v>
      </c>
      <c r="GA114" s="470"/>
      <c r="GB114" s="50">
        <v>63.550000000000182</v>
      </c>
      <c r="GC114" s="50">
        <v>0</v>
      </c>
      <c r="GD114" s="50">
        <v>0</v>
      </c>
      <c r="GE114" s="50">
        <v>0</v>
      </c>
      <c r="GF114" s="470"/>
      <c r="GG114" s="50">
        <v>24.449999999998909</v>
      </c>
      <c r="GH114" s="50">
        <v>0</v>
      </c>
      <c r="GI114" s="50">
        <v>0</v>
      </c>
      <c r="GJ114" s="50">
        <v>0</v>
      </c>
      <c r="GK114" s="470"/>
      <c r="GL114" s="50">
        <v>113.36249999999836</v>
      </c>
      <c r="GM114" s="50">
        <v>0</v>
      </c>
      <c r="GN114" s="50">
        <v>0</v>
      </c>
      <c r="GO114" s="50">
        <v>0</v>
      </c>
      <c r="GP114" s="470"/>
      <c r="GQ114" s="50">
        <v>67.249999999998181</v>
      </c>
      <c r="GR114" s="50">
        <v>0</v>
      </c>
      <c r="GS114" s="50">
        <v>0</v>
      </c>
      <c r="GT114" s="50">
        <v>0</v>
      </c>
      <c r="GU114" s="470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24500.87499999992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0"/>
      <c r="I115" s="50">
        <v>76.249999999999972</v>
      </c>
      <c r="J115" s="50">
        <v>0</v>
      </c>
      <c r="K115" s="50">
        <v>0</v>
      </c>
      <c r="L115" s="50">
        <v>0</v>
      </c>
      <c r="M115" s="470"/>
      <c r="N115" s="50">
        <v>67.249999999999943</v>
      </c>
      <c r="O115" s="50">
        <v>391.05</v>
      </c>
      <c r="P115" s="50">
        <v>0</v>
      </c>
      <c r="Q115" s="50">
        <v>0</v>
      </c>
      <c r="R115" s="470"/>
      <c r="S115" s="458">
        <v>0</v>
      </c>
      <c r="T115" s="50">
        <v>66.150000000000091</v>
      </c>
      <c r="U115" s="508">
        <v>0</v>
      </c>
      <c r="V115" s="50">
        <v>0</v>
      </c>
      <c r="W115" s="470"/>
      <c r="X115" s="50">
        <v>24.425000000000068</v>
      </c>
      <c r="Y115" s="50">
        <v>333.40000000000009</v>
      </c>
      <c r="Z115" s="50">
        <v>0</v>
      </c>
      <c r="AA115" s="50">
        <v>0</v>
      </c>
      <c r="AB115" s="470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0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0"/>
      <c r="AM115" s="458">
        <v>43.850000000000023</v>
      </c>
      <c r="AN115" s="458">
        <v>231.40000000000009</v>
      </c>
      <c r="AO115" s="458">
        <v>0</v>
      </c>
      <c r="AP115" s="50">
        <v>0</v>
      </c>
      <c r="AQ115" s="470"/>
      <c r="AR115" s="50">
        <v>31.875000000000909</v>
      </c>
      <c r="AS115" s="50">
        <v>146.5</v>
      </c>
      <c r="AT115" s="50">
        <v>0</v>
      </c>
      <c r="AU115" s="50">
        <v>0</v>
      </c>
      <c r="AV115" s="470"/>
      <c r="AW115" s="50">
        <v>0</v>
      </c>
      <c r="AX115" s="50">
        <v>248.59999999999945</v>
      </c>
      <c r="AY115" s="50">
        <v>0</v>
      </c>
      <c r="AZ115" s="50">
        <v>0</v>
      </c>
      <c r="BA115" s="470"/>
      <c r="BB115" s="50">
        <v>0</v>
      </c>
      <c r="BC115" s="50">
        <v>111.05000000000018</v>
      </c>
      <c r="BD115" s="50">
        <v>0</v>
      </c>
      <c r="BE115" s="50">
        <v>0</v>
      </c>
      <c r="BF115" s="470"/>
      <c r="BG115" s="50">
        <v>13.000000000000455</v>
      </c>
      <c r="BH115" s="50">
        <v>111</v>
      </c>
      <c r="BI115" s="50">
        <v>0</v>
      </c>
      <c r="BJ115" s="50">
        <v>0</v>
      </c>
      <c r="BK115" s="470"/>
      <c r="BL115" s="50">
        <v>0</v>
      </c>
      <c r="BM115" s="50">
        <v>93.399999999999181</v>
      </c>
      <c r="BN115" s="50">
        <v>0</v>
      </c>
      <c r="BO115" s="50">
        <v>0</v>
      </c>
      <c r="BP115" s="470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70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0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0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0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0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0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0"/>
      <c r="CZ115" s="50">
        <v>43.874999999999545</v>
      </c>
      <c r="DA115" s="50">
        <v>0</v>
      </c>
      <c r="DB115" s="50">
        <v>0</v>
      </c>
      <c r="DC115" s="50">
        <v>0</v>
      </c>
      <c r="DD115" s="470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0"/>
      <c r="DJ115" s="50">
        <v>141.92499999999927</v>
      </c>
      <c r="DK115" s="50">
        <v>0</v>
      </c>
      <c r="DL115" s="50">
        <v>0</v>
      </c>
      <c r="DM115" s="50">
        <v>0</v>
      </c>
      <c r="DN115" s="470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0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0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0"/>
      <c r="ED115" s="50">
        <v>38.999999999999091</v>
      </c>
      <c r="EE115" s="50">
        <v>0</v>
      </c>
      <c r="EF115" s="50">
        <v>0</v>
      </c>
      <c r="EG115" s="50">
        <v>0</v>
      </c>
      <c r="EH115" s="470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0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0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0"/>
      <c r="EX115" s="50">
        <v>111.85000000000218</v>
      </c>
      <c r="EY115" s="50">
        <v>0</v>
      </c>
      <c r="EZ115" s="50">
        <v>0</v>
      </c>
      <c r="FA115" s="50">
        <v>0</v>
      </c>
      <c r="FB115" s="470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0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0"/>
      <c r="FM115" s="50">
        <v>40.200000000000728</v>
      </c>
      <c r="FN115" s="50">
        <v>0</v>
      </c>
      <c r="FO115" s="50">
        <v>0</v>
      </c>
      <c r="FP115" s="50">
        <v>0</v>
      </c>
      <c r="FQ115" s="470"/>
      <c r="FR115" s="50">
        <v>32.325000000000728</v>
      </c>
      <c r="FS115" s="50">
        <v>0</v>
      </c>
      <c r="FT115" s="50">
        <v>0</v>
      </c>
      <c r="FU115" s="50">
        <v>0</v>
      </c>
      <c r="FV115" s="470"/>
      <c r="FW115" s="50">
        <v>82.599999999999909</v>
      </c>
      <c r="FX115" s="50">
        <v>0</v>
      </c>
      <c r="FY115" s="50">
        <v>0</v>
      </c>
      <c r="FZ115" s="50">
        <v>0</v>
      </c>
      <c r="GA115" s="470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0"/>
      <c r="GG115" s="50">
        <v>134.57500000000073</v>
      </c>
      <c r="GH115" s="50">
        <v>0</v>
      </c>
      <c r="GI115" s="50">
        <v>0</v>
      </c>
      <c r="GJ115" s="50">
        <v>0</v>
      </c>
      <c r="GK115" s="470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0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0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6510.8999999999533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0"/>
      <c r="I116" s="50">
        <v>66.375000000000014</v>
      </c>
      <c r="J116" s="50">
        <v>0</v>
      </c>
      <c r="K116" s="50">
        <v>0</v>
      </c>
      <c r="L116" s="50">
        <v>0</v>
      </c>
      <c r="M116" s="470"/>
      <c r="N116" s="50">
        <v>188.27500000000003</v>
      </c>
      <c r="O116" s="50">
        <v>0</v>
      </c>
      <c r="P116" s="50">
        <v>0</v>
      </c>
      <c r="Q116" s="50">
        <v>0</v>
      </c>
      <c r="R116" s="470"/>
      <c r="S116" s="458">
        <v>49.299999999999955</v>
      </c>
      <c r="T116" s="50">
        <v>0</v>
      </c>
      <c r="U116" s="508">
        <v>0</v>
      </c>
      <c r="V116" s="50">
        <v>0</v>
      </c>
      <c r="W116" s="470"/>
      <c r="X116" s="50">
        <v>77.674999999999955</v>
      </c>
      <c r="Y116" s="50">
        <v>0</v>
      </c>
      <c r="Z116" s="50">
        <v>0</v>
      </c>
      <c r="AA116" s="50">
        <v>0</v>
      </c>
      <c r="AB116" s="470"/>
      <c r="AC116" s="50">
        <v>90.925000000000068</v>
      </c>
      <c r="AD116" s="50">
        <v>0</v>
      </c>
      <c r="AE116" s="50">
        <v>0</v>
      </c>
      <c r="AF116" s="50">
        <v>0</v>
      </c>
      <c r="AG116" s="470"/>
      <c r="AH116" s="50">
        <v>91.424999999999969</v>
      </c>
      <c r="AI116" s="50">
        <v>0</v>
      </c>
      <c r="AJ116" s="50">
        <v>0</v>
      </c>
      <c r="AK116" s="50">
        <v>0</v>
      </c>
      <c r="AL116" s="470"/>
      <c r="AM116" s="458">
        <v>105.09999999999991</v>
      </c>
      <c r="AN116" s="458">
        <v>0</v>
      </c>
      <c r="AO116" s="458">
        <v>0</v>
      </c>
      <c r="AP116" s="50">
        <v>0</v>
      </c>
      <c r="AQ116" s="470"/>
      <c r="AR116" s="50">
        <v>53.424999999998363</v>
      </c>
      <c r="AS116" s="50">
        <v>0</v>
      </c>
      <c r="AT116" s="50">
        <v>0</v>
      </c>
      <c r="AU116" s="50">
        <v>0</v>
      </c>
      <c r="AV116" s="470"/>
      <c r="AW116" s="50">
        <v>0</v>
      </c>
      <c r="AX116" s="50">
        <v>0</v>
      </c>
      <c r="AY116" s="50">
        <v>0</v>
      </c>
      <c r="AZ116" s="50">
        <v>0</v>
      </c>
      <c r="BA116" s="470"/>
      <c r="BB116" s="50">
        <v>0</v>
      </c>
      <c r="BC116" s="50">
        <v>0</v>
      </c>
      <c r="BD116" s="50">
        <v>0</v>
      </c>
      <c r="BE116" s="50">
        <v>0</v>
      </c>
      <c r="BF116" s="470"/>
      <c r="BG116" s="50">
        <v>82.749999999998636</v>
      </c>
      <c r="BH116" s="50">
        <v>0</v>
      </c>
      <c r="BI116" s="50">
        <v>0</v>
      </c>
      <c r="BJ116" s="50">
        <v>0</v>
      </c>
      <c r="BK116" s="470"/>
      <c r="BL116" s="50">
        <v>0</v>
      </c>
      <c r="BM116" s="50">
        <v>0</v>
      </c>
      <c r="BN116" s="50">
        <v>0</v>
      </c>
      <c r="BO116" s="50">
        <v>0</v>
      </c>
      <c r="BP116" s="470"/>
      <c r="BQ116" s="50">
        <v>76.374999999998636</v>
      </c>
      <c r="BR116" s="50">
        <v>0</v>
      </c>
      <c r="BS116" s="50">
        <v>0</v>
      </c>
      <c r="BT116" s="50">
        <v>0</v>
      </c>
      <c r="BU116" s="470"/>
      <c r="BV116" s="50">
        <v>0</v>
      </c>
      <c r="BW116" s="50">
        <v>0</v>
      </c>
      <c r="BX116" s="50">
        <v>0</v>
      </c>
      <c r="BY116" s="50">
        <v>0</v>
      </c>
      <c r="BZ116" s="470"/>
      <c r="CA116" s="50">
        <v>0</v>
      </c>
      <c r="CB116" s="50">
        <v>0</v>
      </c>
      <c r="CC116" s="50">
        <v>0</v>
      </c>
      <c r="CD116" s="50">
        <v>0</v>
      </c>
      <c r="CE116" s="470"/>
      <c r="CF116" s="50">
        <v>0</v>
      </c>
      <c r="CG116" s="50">
        <v>0</v>
      </c>
      <c r="CH116" s="50">
        <v>0</v>
      </c>
      <c r="CI116" s="50">
        <v>0</v>
      </c>
      <c r="CJ116" s="470"/>
      <c r="CK116" s="50">
        <v>0</v>
      </c>
      <c r="CL116" s="50">
        <v>108.55000000000109</v>
      </c>
      <c r="CM116" s="50">
        <v>0</v>
      </c>
      <c r="CN116" s="50">
        <v>0</v>
      </c>
      <c r="CO116" s="470"/>
      <c r="CP116" s="50">
        <v>0</v>
      </c>
      <c r="CQ116" s="50">
        <v>356.74999999999909</v>
      </c>
      <c r="CR116" s="50">
        <v>0</v>
      </c>
      <c r="CS116" s="50">
        <v>0</v>
      </c>
      <c r="CT116" s="470"/>
      <c r="CU116" s="50">
        <v>0</v>
      </c>
      <c r="CV116" s="50">
        <v>0</v>
      </c>
      <c r="CW116" s="50">
        <v>0</v>
      </c>
      <c r="CX116" s="50">
        <v>0</v>
      </c>
      <c r="CY116" s="470"/>
      <c r="CZ116" s="50">
        <v>0</v>
      </c>
      <c r="DA116" s="50">
        <v>0</v>
      </c>
      <c r="DB116" s="50">
        <v>0</v>
      </c>
      <c r="DC116" s="50">
        <v>0</v>
      </c>
      <c r="DD116" s="470"/>
      <c r="DE116" s="50">
        <v>0</v>
      </c>
      <c r="DF116" s="50">
        <v>264.59999999999764</v>
      </c>
      <c r="DG116" s="50">
        <v>0</v>
      </c>
      <c r="DH116" s="50">
        <v>0</v>
      </c>
      <c r="DI116" s="470"/>
      <c r="DJ116" s="50">
        <v>0</v>
      </c>
      <c r="DK116" s="50">
        <v>0</v>
      </c>
      <c r="DL116" s="50">
        <v>0</v>
      </c>
      <c r="DM116" s="50">
        <v>0</v>
      </c>
      <c r="DN116" s="470"/>
      <c r="DO116" s="50">
        <v>0</v>
      </c>
      <c r="DP116" s="50">
        <v>429.40000000000009</v>
      </c>
      <c r="DQ116" s="50">
        <v>0</v>
      </c>
      <c r="DR116" s="50">
        <v>0</v>
      </c>
      <c r="DS116" s="470"/>
      <c r="DT116" s="50">
        <v>0</v>
      </c>
      <c r="DU116" s="50">
        <v>0</v>
      </c>
      <c r="DV116" s="50">
        <v>0</v>
      </c>
      <c r="DW116" s="50">
        <v>0</v>
      </c>
      <c r="DX116" s="470"/>
      <c r="DY116" s="50">
        <v>0</v>
      </c>
      <c r="DZ116" s="50">
        <v>2113.0500000000011</v>
      </c>
      <c r="EA116" s="50">
        <v>0</v>
      </c>
      <c r="EB116" s="50">
        <v>0</v>
      </c>
      <c r="EC116" s="470"/>
      <c r="ED116" s="50">
        <v>0</v>
      </c>
      <c r="EE116" s="50">
        <v>0</v>
      </c>
      <c r="EF116" s="50">
        <v>0</v>
      </c>
      <c r="EG116" s="50">
        <v>0</v>
      </c>
      <c r="EH116" s="470"/>
      <c r="EI116" s="50">
        <v>0</v>
      </c>
      <c r="EJ116" s="50">
        <v>0</v>
      </c>
      <c r="EK116" s="50">
        <v>0</v>
      </c>
      <c r="EL116" s="50">
        <v>0</v>
      </c>
      <c r="EM116" s="470"/>
      <c r="EN116" s="50">
        <v>0</v>
      </c>
      <c r="EO116" s="50">
        <v>191.85000000000059</v>
      </c>
      <c r="EP116" s="50">
        <v>0</v>
      </c>
      <c r="EQ116" s="50">
        <v>0</v>
      </c>
      <c r="ER116" s="470"/>
      <c r="ES116" s="50">
        <v>0</v>
      </c>
      <c r="ET116" s="50">
        <v>286.39999999999873</v>
      </c>
      <c r="EU116" s="50">
        <v>0</v>
      </c>
      <c r="EV116" s="50">
        <v>0</v>
      </c>
      <c r="EW116" s="470"/>
      <c r="EX116" s="50">
        <v>0</v>
      </c>
      <c r="EY116" s="50">
        <v>0</v>
      </c>
      <c r="EZ116" s="50">
        <v>0</v>
      </c>
      <c r="FA116" s="50">
        <v>0</v>
      </c>
      <c r="FB116" s="470"/>
      <c r="FC116" s="50">
        <v>0</v>
      </c>
      <c r="FD116" s="50">
        <v>997.84999999996035</v>
      </c>
      <c r="FE116" s="50">
        <v>0</v>
      </c>
      <c r="FF116" s="50">
        <v>0</v>
      </c>
      <c r="FG116" s="470"/>
      <c r="FH116" s="50">
        <v>0</v>
      </c>
      <c r="FI116" s="50">
        <v>0</v>
      </c>
      <c r="FJ116" s="50">
        <v>0</v>
      </c>
      <c r="FK116" s="50">
        <v>0</v>
      </c>
      <c r="FL116" s="470"/>
      <c r="FM116" s="50">
        <v>0</v>
      </c>
      <c r="FN116" s="50">
        <v>0</v>
      </c>
      <c r="FO116" s="50">
        <v>0</v>
      </c>
      <c r="FP116" s="50">
        <v>0</v>
      </c>
      <c r="FQ116" s="470"/>
      <c r="FR116" s="50">
        <v>0</v>
      </c>
      <c r="FS116" s="50">
        <v>0</v>
      </c>
      <c r="FT116" s="50">
        <v>0</v>
      </c>
      <c r="FU116" s="50">
        <v>0</v>
      </c>
      <c r="FV116" s="470"/>
      <c r="FW116" s="50">
        <v>0</v>
      </c>
      <c r="FX116" s="50">
        <v>0</v>
      </c>
      <c r="FY116" s="50">
        <v>0</v>
      </c>
      <c r="FZ116" s="50">
        <v>0</v>
      </c>
      <c r="GA116" s="470"/>
      <c r="GB116" s="50">
        <v>0</v>
      </c>
      <c r="GC116" s="50">
        <v>53.050000000000637</v>
      </c>
      <c r="GD116" s="50">
        <v>0</v>
      </c>
      <c r="GE116" s="50">
        <v>0</v>
      </c>
      <c r="GF116" s="470"/>
      <c r="GG116" s="50">
        <v>0</v>
      </c>
      <c r="GH116" s="50">
        <v>0</v>
      </c>
      <c r="GI116" s="50">
        <v>0</v>
      </c>
      <c r="GJ116" s="50">
        <v>0</v>
      </c>
      <c r="GK116" s="470"/>
      <c r="GL116" s="50">
        <v>0</v>
      </c>
      <c r="GM116" s="50">
        <v>620.80000000000382</v>
      </c>
      <c r="GN116" s="50">
        <v>0</v>
      </c>
      <c r="GO116" s="50">
        <v>0</v>
      </c>
      <c r="GP116" s="470"/>
      <c r="GQ116" s="50">
        <v>0</v>
      </c>
      <c r="GR116" s="50">
        <v>157.24999999999454</v>
      </c>
      <c r="GS116" s="50">
        <v>0</v>
      </c>
      <c r="GT116" s="50">
        <v>0</v>
      </c>
      <c r="GU116" s="470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20678.224999999871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0"/>
      <c r="I117" s="50">
        <v>50.625000000000007</v>
      </c>
      <c r="J117" s="50">
        <v>0</v>
      </c>
      <c r="K117" s="50">
        <v>0</v>
      </c>
      <c r="L117" s="50">
        <v>0</v>
      </c>
      <c r="M117" s="470"/>
      <c r="N117" s="50">
        <v>124.97499999999991</v>
      </c>
      <c r="O117" s="50">
        <v>250.90000000000003</v>
      </c>
      <c r="P117" s="50">
        <v>0</v>
      </c>
      <c r="Q117" s="50">
        <v>0</v>
      </c>
      <c r="R117" s="470"/>
      <c r="S117" s="458">
        <v>75.599999999999909</v>
      </c>
      <c r="T117" s="50">
        <v>67.650000000000091</v>
      </c>
      <c r="U117" s="508">
        <v>0</v>
      </c>
      <c r="V117" s="50">
        <v>0</v>
      </c>
      <c r="W117" s="470"/>
      <c r="X117" s="50">
        <v>45.399999999999977</v>
      </c>
      <c r="Y117" s="50">
        <v>393.65</v>
      </c>
      <c r="Z117" s="50">
        <v>0</v>
      </c>
      <c r="AA117" s="50">
        <v>0</v>
      </c>
      <c r="AB117" s="470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0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0"/>
      <c r="AM117" s="458">
        <v>105.72499999999991</v>
      </c>
      <c r="AN117" s="458">
        <v>403.90000000000009</v>
      </c>
      <c r="AO117" s="458">
        <v>0</v>
      </c>
      <c r="AP117" s="50">
        <v>0</v>
      </c>
      <c r="AQ117" s="470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70"/>
      <c r="AW117" s="50">
        <v>0</v>
      </c>
      <c r="AX117" s="50">
        <v>215.25000000000045</v>
      </c>
      <c r="AY117" s="50">
        <v>0</v>
      </c>
      <c r="AZ117" s="50">
        <v>0</v>
      </c>
      <c r="BA117" s="470"/>
      <c r="BB117" s="50">
        <v>0</v>
      </c>
      <c r="BC117" s="50">
        <v>141.59999999999991</v>
      </c>
      <c r="BD117" s="50">
        <v>0</v>
      </c>
      <c r="BE117" s="50">
        <v>0</v>
      </c>
      <c r="BF117" s="470"/>
      <c r="BG117" s="50">
        <v>38.749999999999545</v>
      </c>
      <c r="BH117" s="50">
        <v>90</v>
      </c>
      <c r="BI117" s="50">
        <v>0</v>
      </c>
      <c r="BJ117" s="50">
        <v>0</v>
      </c>
      <c r="BK117" s="470"/>
      <c r="BL117" s="50">
        <v>0</v>
      </c>
      <c r="BM117" s="50">
        <v>87.550000000000637</v>
      </c>
      <c r="BN117" s="50">
        <v>0</v>
      </c>
      <c r="BO117" s="50">
        <v>0</v>
      </c>
      <c r="BP117" s="470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70"/>
      <c r="BV117" s="50">
        <v>0</v>
      </c>
      <c r="BW117" s="50">
        <v>0</v>
      </c>
      <c r="BX117" s="50">
        <v>561.52500000000055</v>
      </c>
      <c r="BY117" s="50">
        <v>0</v>
      </c>
      <c r="BZ117" s="470"/>
      <c r="CA117" s="50">
        <v>0</v>
      </c>
      <c r="CB117" s="50">
        <v>0</v>
      </c>
      <c r="CC117" s="50">
        <v>214.650000000006</v>
      </c>
      <c r="CD117" s="50">
        <v>0</v>
      </c>
      <c r="CE117" s="470"/>
      <c r="CF117" s="50">
        <v>0</v>
      </c>
      <c r="CG117" s="50">
        <v>0</v>
      </c>
      <c r="CH117" s="50">
        <v>376.79999999999973</v>
      </c>
      <c r="CI117" s="50">
        <v>0</v>
      </c>
      <c r="CJ117" s="470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0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0"/>
      <c r="CU117" s="50">
        <v>0</v>
      </c>
      <c r="CV117" s="50">
        <v>0</v>
      </c>
      <c r="CW117" s="50">
        <v>267.52500000000055</v>
      </c>
      <c r="CX117" s="50">
        <v>0</v>
      </c>
      <c r="CY117" s="470"/>
      <c r="CZ117" s="50">
        <v>0</v>
      </c>
      <c r="DA117" s="50">
        <v>0</v>
      </c>
      <c r="DB117" s="50">
        <v>181.12500000000273</v>
      </c>
      <c r="DC117" s="50">
        <v>0</v>
      </c>
      <c r="DD117" s="470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0"/>
      <c r="DJ117" s="50">
        <v>0</v>
      </c>
      <c r="DK117" s="50">
        <v>0</v>
      </c>
      <c r="DL117" s="50">
        <v>0</v>
      </c>
      <c r="DM117" s="50">
        <v>0</v>
      </c>
      <c r="DN117" s="470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0"/>
      <c r="DT117" s="50">
        <v>0</v>
      </c>
      <c r="DU117" s="50">
        <v>0</v>
      </c>
      <c r="DV117" s="50">
        <v>120.44999999999618</v>
      </c>
      <c r="DW117" s="50">
        <v>0</v>
      </c>
      <c r="DX117" s="470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0"/>
      <c r="ED117" s="50">
        <v>0</v>
      </c>
      <c r="EE117" s="50">
        <v>0</v>
      </c>
      <c r="EF117" s="50">
        <v>0</v>
      </c>
      <c r="EG117" s="50">
        <v>0</v>
      </c>
      <c r="EH117" s="470"/>
      <c r="EI117" s="50">
        <v>0</v>
      </c>
      <c r="EJ117" s="50">
        <v>0</v>
      </c>
      <c r="EK117" s="50">
        <v>103.34999999999945</v>
      </c>
      <c r="EL117" s="50">
        <v>0</v>
      </c>
      <c r="EM117" s="470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0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0"/>
      <c r="EX117" s="50">
        <v>0</v>
      </c>
      <c r="EY117" s="50">
        <v>0</v>
      </c>
      <c r="EZ117" s="50">
        <v>0</v>
      </c>
      <c r="FA117" s="50">
        <v>0</v>
      </c>
      <c r="FB117" s="470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0"/>
      <c r="FH117" s="50">
        <v>0</v>
      </c>
      <c r="FI117" s="50">
        <v>66</v>
      </c>
      <c r="FJ117" s="50">
        <v>201.15000000000055</v>
      </c>
      <c r="FK117" s="50">
        <v>0</v>
      </c>
      <c r="FL117" s="470"/>
      <c r="FM117" s="50">
        <v>0</v>
      </c>
      <c r="FN117" s="50">
        <v>0</v>
      </c>
      <c r="FO117" s="50">
        <v>0</v>
      </c>
      <c r="FP117" s="50">
        <v>0</v>
      </c>
      <c r="FQ117" s="470"/>
      <c r="FR117" s="50">
        <v>0</v>
      </c>
      <c r="FS117" s="50">
        <v>0</v>
      </c>
      <c r="FT117" s="50">
        <v>0</v>
      </c>
      <c r="FU117" s="50">
        <v>0</v>
      </c>
      <c r="FV117" s="470"/>
      <c r="FW117" s="50">
        <v>0</v>
      </c>
      <c r="FX117" s="50">
        <v>0</v>
      </c>
      <c r="FY117" s="50">
        <v>0</v>
      </c>
      <c r="FZ117" s="50">
        <v>0</v>
      </c>
      <c r="GA117" s="470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0"/>
      <c r="GG117" s="50">
        <v>0</v>
      </c>
      <c r="GH117" s="50">
        <v>0</v>
      </c>
      <c r="GI117" s="50">
        <v>0</v>
      </c>
      <c r="GJ117" s="50">
        <v>0</v>
      </c>
      <c r="GK117" s="470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0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0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3018.4499999999935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0"/>
      <c r="I118" s="50">
        <v>0</v>
      </c>
      <c r="J118" s="50">
        <v>0</v>
      </c>
      <c r="K118" s="50">
        <v>0</v>
      </c>
      <c r="L118" s="50">
        <v>0</v>
      </c>
      <c r="M118" s="470"/>
      <c r="N118" s="50">
        <v>0</v>
      </c>
      <c r="O118" s="50">
        <v>0</v>
      </c>
      <c r="P118" s="50">
        <v>0</v>
      </c>
      <c r="Q118" s="50">
        <v>0</v>
      </c>
      <c r="R118" s="470"/>
      <c r="S118" s="458">
        <v>0</v>
      </c>
      <c r="T118" s="50">
        <v>0</v>
      </c>
      <c r="U118" s="508">
        <v>0</v>
      </c>
      <c r="V118" s="50">
        <v>0</v>
      </c>
      <c r="W118" s="470"/>
      <c r="X118" s="50">
        <v>0</v>
      </c>
      <c r="Y118" s="50">
        <v>0</v>
      </c>
      <c r="Z118" s="50">
        <v>0</v>
      </c>
      <c r="AA118" s="50">
        <v>0</v>
      </c>
      <c r="AB118" s="470"/>
      <c r="AC118" s="50">
        <v>0</v>
      </c>
      <c r="AD118" s="50">
        <v>0</v>
      </c>
      <c r="AE118" s="50">
        <v>0</v>
      </c>
      <c r="AF118" s="50">
        <v>0</v>
      </c>
      <c r="AG118" s="470"/>
      <c r="AH118" s="50">
        <v>0</v>
      </c>
      <c r="AI118" s="50">
        <v>0</v>
      </c>
      <c r="AJ118" s="50">
        <v>0</v>
      </c>
      <c r="AK118" s="50">
        <v>0</v>
      </c>
      <c r="AL118" s="470"/>
      <c r="AM118" s="458">
        <v>0</v>
      </c>
      <c r="AN118" s="458">
        <v>0</v>
      </c>
      <c r="AO118" s="458">
        <v>0</v>
      </c>
      <c r="AP118" s="50">
        <v>0</v>
      </c>
      <c r="AQ118" s="470"/>
      <c r="AR118" s="50">
        <v>0</v>
      </c>
      <c r="AS118" s="50">
        <v>0</v>
      </c>
      <c r="AT118" s="50">
        <v>0</v>
      </c>
      <c r="AU118" s="50">
        <v>0</v>
      </c>
      <c r="AV118" s="470"/>
      <c r="AW118" s="50">
        <v>0</v>
      </c>
      <c r="AX118" s="50">
        <v>0</v>
      </c>
      <c r="AY118" s="50">
        <v>0</v>
      </c>
      <c r="AZ118" s="50">
        <v>0</v>
      </c>
      <c r="BA118" s="470"/>
      <c r="BB118" s="50">
        <v>0</v>
      </c>
      <c r="BC118" s="50">
        <v>0</v>
      </c>
      <c r="BD118" s="50">
        <v>0</v>
      </c>
      <c r="BE118" s="50">
        <v>0</v>
      </c>
      <c r="BF118" s="470"/>
      <c r="BG118" s="50">
        <v>0</v>
      </c>
      <c r="BH118" s="50">
        <v>0</v>
      </c>
      <c r="BI118" s="50">
        <v>0</v>
      </c>
      <c r="BJ118" s="50">
        <v>0</v>
      </c>
      <c r="BK118" s="470"/>
      <c r="BL118" s="50">
        <v>0</v>
      </c>
      <c r="BM118" s="50">
        <v>0</v>
      </c>
      <c r="BN118" s="50">
        <v>0</v>
      </c>
      <c r="BO118" s="50">
        <v>0</v>
      </c>
      <c r="BP118" s="470"/>
      <c r="BQ118" s="50">
        <v>0</v>
      </c>
      <c r="BR118" s="50">
        <v>0</v>
      </c>
      <c r="BS118" s="50">
        <v>0</v>
      </c>
      <c r="BT118" s="50">
        <v>0</v>
      </c>
      <c r="BU118" s="470"/>
      <c r="BV118" s="50">
        <v>97.275000000000091</v>
      </c>
      <c r="BW118" s="50">
        <v>0</v>
      </c>
      <c r="BX118" s="50">
        <v>0</v>
      </c>
      <c r="BY118" s="50">
        <v>0</v>
      </c>
      <c r="BZ118" s="470"/>
      <c r="CA118" s="50">
        <v>35.375000000000227</v>
      </c>
      <c r="CB118" s="50">
        <v>0</v>
      </c>
      <c r="CC118" s="50">
        <v>0</v>
      </c>
      <c r="CD118" s="50">
        <v>0</v>
      </c>
      <c r="CE118" s="470"/>
      <c r="CF118" s="50">
        <v>59.225000000000136</v>
      </c>
      <c r="CG118" s="50">
        <v>0</v>
      </c>
      <c r="CH118" s="50">
        <v>0</v>
      </c>
      <c r="CI118" s="50">
        <v>0</v>
      </c>
      <c r="CJ118" s="470"/>
      <c r="CK118" s="50">
        <v>58.799999999999727</v>
      </c>
      <c r="CL118" s="50">
        <v>0</v>
      </c>
      <c r="CM118" s="50">
        <v>0</v>
      </c>
      <c r="CN118" s="50">
        <v>0</v>
      </c>
      <c r="CO118" s="470"/>
      <c r="CP118" s="50">
        <v>82.824999999999818</v>
      </c>
      <c r="CQ118" s="50">
        <v>0</v>
      </c>
      <c r="CR118" s="50">
        <v>0</v>
      </c>
      <c r="CS118" s="50">
        <v>0</v>
      </c>
      <c r="CT118" s="470"/>
      <c r="CU118" s="50">
        <v>36.899999999999636</v>
      </c>
      <c r="CV118" s="50">
        <v>0</v>
      </c>
      <c r="CW118" s="50">
        <v>0</v>
      </c>
      <c r="CX118" s="50">
        <v>0</v>
      </c>
      <c r="CY118" s="470"/>
      <c r="CZ118" s="50">
        <v>27.799999999999727</v>
      </c>
      <c r="DA118" s="50">
        <v>0</v>
      </c>
      <c r="DB118" s="50">
        <v>0</v>
      </c>
      <c r="DC118" s="50">
        <v>0</v>
      </c>
      <c r="DD118" s="470"/>
      <c r="DE118" s="50">
        <v>509.28750000000014</v>
      </c>
      <c r="DF118" s="50">
        <v>0</v>
      </c>
      <c r="DG118" s="50">
        <v>0</v>
      </c>
      <c r="DH118" s="50">
        <v>0</v>
      </c>
      <c r="DI118" s="470"/>
      <c r="DJ118" s="50">
        <v>68.349999999999682</v>
      </c>
      <c r="DK118" s="50">
        <v>0</v>
      </c>
      <c r="DL118" s="50">
        <v>0</v>
      </c>
      <c r="DM118" s="50">
        <v>0</v>
      </c>
      <c r="DN118" s="470"/>
      <c r="DO118" s="50">
        <v>143.94999999999982</v>
      </c>
      <c r="DP118" s="50">
        <v>0</v>
      </c>
      <c r="DQ118" s="50">
        <v>0</v>
      </c>
      <c r="DR118" s="50">
        <v>0</v>
      </c>
      <c r="DS118" s="470"/>
      <c r="DT118" s="50">
        <v>171.07499999999936</v>
      </c>
      <c r="DU118" s="50">
        <v>0</v>
      </c>
      <c r="DV118" s="50">
        <v>0</v>
      </c>
      <c r="DW118" s="50">
        <v>0</v>
      </c>
      <c r="DX118" s="470"/>
      <c r="DY118" s="50">
        <v>651.01249999999982</v>
      </c>
      <c r="DZ118" s="50">
        <v>0</v>
      </c>
      <c r="EA118" s="50">
        <v>0</v>
      </c>
      <c r="EB118" s="50">
        <v>0</v>
      </c>
      <c r="EC118" s="470"/>
      <c r="ED118" s="50">
        <v>37.499999999999091</v>
      </c>
      <c r="EE118" s="50">
        <v>0</v>
      </c>
      <c r="EF118" s="50">
        <v>0</v>
      </c>
      <c r="EG118" s="50">
        <v>0</v>
      </c>
      <c r="EH118" s="470"/>
      <c r="EI118" s="50">
        <v>65.924999999999272</v>
      </c>
      <c r="EJ118" s="50">
        <v>0</v>
      </c>
      <c r="EK118" s="50">
        <v>0</v>
      </c>
      <c r="EL118" s="50">
        <v>0</v>
      </c>
      <c r="EM118" s="470"/>
      <c r="EN118" s="50">
        <v>18.074999999999363</v>
      </c>
      <c r="EO118" s="50">
        <v>0</v>
      </c>
      <c r="EP118" s="50">
        <v>0</v>
      </c>
      <c r="EQ118" s="50">
        <v>0</v>
      </c>
      <c r="ER118" s="470"/>
      <c r="ES118" s="50">
        <v>125.87499999999909</v>
      </c>
      <c r="ET118" s="50">
        <v>0</v>
      </c>
      <c r="EU118" s="50">
        <v>0</v>
      </c>
      <c r="EV118" s="50">
        <v>0</v>
      </c>
      <c r="EW118" s="470"/>
      <c r="EX118" s="50">
        <v>40.624999999999091</v>
      </c>
      <c r="EY118" s="50">
        <v>0</v>
      </c>
      <c r="EZ118" s="50">
        <v>0</v>
      </c>
      <c r="FA118" s="50">
        <v>0</v>
      </c>
      <c r="FB118" s="470"/>
      <c r="FC118" s="50">
        <v>178.44999999999982</v>
      </c>
      <c r="FD118" s="50">
        <v>0</v>
      </c>
      <c r="FE118" s="50">
        <v>0</v>
      </c>
      <c r="FF118" s="50">
        <v>0</v>
      </c>
      <c r="FG118" s="470"/>
      <c r="FH118" s="50">
        <v>59.974999999999909</v>
      </c>
      <c r="FI118" s="50">
        <v>0</v>
      </c>
      <c r="FJ118" s="50">
        <v>0</v>
      </c>
      <c r="FK118" s="50">
        <v>0</v>
      </c>
      <c r="FL118" s="470"/>
      <c r="FM118" s="50">
        <v>131.25</v>
      </c>
      <c r="FN118" s="50">
        <v>0</v>
      </c>
      <c r="FO118" s="50">
        <v>0</v>
      </c>
      <c r="FP118" s="50">
        <v>0</v>
      </c>
      <c r="FQ118" s="470"/>
      <c r="FR118" s="50">
        <v>94.175000000000182</v>
      </c>
      <c r="FS118" s="50">
        <v>0</v>
      </c>
      <c r="FT118" s="50">
        <v>0</v>
      </c>
      <c r="FU118" s="50">
        <v>0</v>
      </c>
      <c r="FV118" s="470"/>
      <c r="FW118" s="50">
        <v>87.325000000000045</v>
      </c>
      <c r="FX118" s="50">
        <v>0</v>
      </c>
      <c r="FY118" s="50">
        <v>0</v>
      </c>
      <c r="FZ118" s="50">
        <v>0</v>
      </c>
      <c r="GA118" s="470"/>
      <c r="GB118" s="50">
        <v>53.050000000000182</v>
      </c>
      <c r="GC118" s="50">
        <v>0</v>
      </c>
      <c r="GD118" s="50">
        <v>0</v>
      </c>
      <c r="GE118" s="50">
        <v>0</v>
      </c>
      <c r="GF118" s="470"/>
      <c r="GG118" s="50">
        <v>9.8000000000001819</v>
      </c>
      <c r="GH118" s="50">
        <v>0</v>
      </c>
      <c r="GI118" s="50">
        <v>0</v>
      </c>
      <c r="GJ118" s="50">
        <v>0</v>
      </c>
      <c r="GK118" s="470"/>
      <c r="GL118" s="50">
        <v>130.17500000000018</v>
      </c>
      <c r="GM118" s="50">
        <v>0</v>
      </c>
      <c r="GN118" s="50">
        <v>0</v>
      </c>
      <c r="GO118" s="50">
        <v>0</v>
      </c>
      <c r="GP118" s="470"/>
      <c r="GQ118" s="50">
        <v>44.374999999999091</v>
      </c>
      <c r="GR118" s="50">
        <v>0</v>
      </c>
      <c r="GS118" s="50">
        <v>0</v>
      </c>
      <c r="GT118" s="50">
        <v>0</v>
      </c>
      <c r="GU118" s="470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48836.224999999977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0"/>
      <c r="I119" s="50">
        <v>50.750000000000028</v>
      </c>
      <c r="J119" s="50">
        <v>0</v>
      </c>
      <c r="K119" s="50">
        <v>0</v>
      </c>
      <c r="L119" s="50">
        <v>0</v>
      </c>
      <c r="M119" s="470"/>
      <c r="N119" s="50">
        <v>91.874999999999943</v>
      </c>
      <c r="O119" s="50">
        <v>344.6</v>
      </c>
      <c r="P119" s="50">
        <v>520.125</v>
      </c>
      <c r="Q119" s="50">
        <v>0</v>
      </c>
      <c r="R119" s="470"/>
      <c r="S119" s="458">
        <v>60</v>
      </c>
      <c r="T119" s="50">
        <v>108.60000000000014</v>
      </c>
      <c r="U119" s="508">
        <v>129.37500000000034</v>
      </c>
      <c r="V119" s="50">
        <v>0</v>
      </c>
      <c r="W119" s="470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0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0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0"/>
      <c r="AM119" s="458">
        <v>165.84999999999968</v>
      </c>
      <c r="AN119" s="458">
        <v>334.10000000000127</v>
      </c>
      <c r="AO119" s="458">
        <v>270.14999999999986</v>
      </c>
      <c r="AP119" s="50">
        <v>0</v>
      </c>
      <c r="AQ119" s="470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70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70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70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70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70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70"/>
      <c r="BV119" s="50">
        <v>0</v>
      </c>
      <c r="BW119" s="50">
        <v>0</v>
      </c>
      <c r="BX119" s="50">
        <v>557.625</v>
      </c>
      <c r="BY119" s="50">
        <v>680.39999999999782</v>
      </c>
      <c r="BZ119" s="470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0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0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0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0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0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0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0"/>
      <c r="DJ119" s="50">
        <v>0</v>
      </c>
      <c r="DK119" s="50">
        <v>0</v>
      </c>
      <c r="DL119" s="50">
        <v>0</v>
      </c>
      <c r="DM119" s="50">
        <v>0</v>
      </c>
      <c r="DN119" s="470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0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0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0"/>
      <c r="ED119" s="50">
        <v>0</v>
      </c>
      <c r="EE119" s="50">
        <v>0</v>
      </c>
      <c r="EF119" s="50">
        <v>0</v>
      </c>
      <c r="EG119" s="50">
        <v>0</v>
      </c>
      <c r="EH119" s="470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0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0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0"/>
      <c r="EX119" s="50">
        <v>0</v>
      </c>
      <c r="EY119" s="50">
        <v>0</v>
      </c>
      <c r="EZ119" s="50">
        <v>0</v>
      </c>
      <c r="FA119" s="50">
        <v>419</v>
      </c>
      <c r="FB119" s="470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0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0"/>
      <c r="FM119" s="50">
        <v>0</v>
      </c>
      <c r="FN119" s="50">
        <v>0</v>
      </c>
      <c r="FO119" s="50">
        <v>0</v>
      </c>
      <c r="FP119" s="50">
        <v>117.40000000000873</v>
      </c>
      <c r="FQ119" s="470"/>
      <c r="FR119" s="50">
        <v>0</v>
      </c>
      <c r="FS119" s="50">
        <v>0</v>
      </c>
      <c r="FT119" s="50">
        <v>0</v>
      </c>
      <c r="FU119" s="50">
        <v>374.700000000008</v>
      </c>
      <c r="FV119" s="470"/>
      <c r="FW119" s="50">
        <v>0</v>
      </c>
      <c r="FX119" s="50">
        <v>0</v>
      </c>
      <c r="FY119" s="50">
        <v>0</v>
      </c>
      <c r="FZ119" s="50">
        <v>0</v>
      </c>
      <c r="GA119" s="470"/>
      <c r="GB119" s="50">
        <v>0</v>
      </c>
      <c r="GC119" s="50">
        <v>120.5</v>
      </c>
      <c r="GD119" s="50">
        <v>390.375</v>
      </c>
      <c r="GE119" s="50">
        <v>560.80000000000291</v>
      </c>
      <c r="GF119" s="470"/>
      <c r="GG119" s="50">
        <v>0</v>
      </c>
      <c r="GH119" s="50">
        <v>0</v>
      </c>
      <c r="GI119" s="50">
        <v>0</v>
      </c>
      <c r="GJ119" s="50">
        <v>0</v>
      </c>
      <c r="GK119" s="470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0"/>
      <c r="GQ119" s="50">
        <v>0</v>
      </c>
      <c r="GR119" s="50">
        <v>111.25000000000182</v>
      </c>
      <c r="GS119" s="50">
        <v>212.625</v>
      </c>
      <c r="GT119" s="50">
        <v>262</v>
      </c>
      <c r="GU119" s="470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5774.3500000000058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0"/>
      <c r="I120" s="50">
        <v>51.375</v>
      </c>
      <c r="J120" s="50">
        <v>0</v>
      </c>
      <c r="K120" s="50">
        <v>0</v>
      </c>
      <c r="L120" s="50">
        <v>0</v>
      </c>
      <c r="M120" s="470"/>
      <c r="N120" s="50">
        <v>138.44999999999999</v>
      </c>
      <c r="O120" s="50">
        <v>0</v>
      </c>
      <c r="P120" s="50">
        <v>0</v>
      </c>
      <c r="Q120" s="50">
        <v>0</v>
      </c>
      <c r="R120" s="470"/>
      <c r="S120" s="458">
        <v>31.875</v>
      </c>
      <c r="T120" s="50">
        <v>0</v>
      </c>
      <c r="U120" s="508">
        <v>0</v>
      </c>
      <c r="V120" s="50">
        <v>0</v>
      </c>
      <c r="W120" s="470"/>
      <c r="X120" s="50">
        <v>61.549999999999955</v>
      </c>
      <c r="Y120" s="50">
        <v>0</v>
      </c>
      <c r="Z120" s="50">
        <v>0</v>
      </c>
      <c r="AA120" s="50">
        <v>0</v>
      </c>
      <c r="AB120" s="470"/>
      <c r="AC120" s="50">
        <v>94.750000000000057</v>
      </c>
      <c r="AD120" s="50">
        <v>0</v>
      </c>
      <c r="AE120" s="50">
        <v>0</v>
      </c>
      <c r="AF120" s="50">
        <v>0</v>
      </c>
      <c r="AG120" s="470"/>
      <c r="AH120" s="50">
        <v>133.87500000000023</v>
      </c>
      <c r="AI120" s="50">
        <v>0</v>
      </c>
      <c r="AJ120" s="50">
        <v>0</v>
      </c>
      <c r="AK120" s="50">
        <v>0</v>
      </c>
      <c r="AL120" s="470"/>
      <c r="AM120" s="458">
        <v>108.92499999999995</v>
      </c>
      <c r="AN120" s="458">
        <v>0</v>
      </c>
      <c r="AO120" s="458">
        <v>0</v>
      </c>
      <c r="AP120" s="50">
        <v>0</v>
      </c>
      <c r="AQ120" s="470"/>
      <c r="AR120" s="50">
        <v>15.125000000000455</v>
      </c>
      <c r="AS120" s="50">
        <v>0</v>
      </c>
      <c r="AT120" s="50">
        <v>0</v>
      </c>
      <c r="AU120" s="50">
        <v>0</v>
      </c>
      <c r="AV120" s="470"/>
      <c r="AW120" s="50">
        <v>0</v>
      </c>
      <c r="AX120" s="50">
        <v>0</v>
      </c>
      <c r="AY120" s="50">
        <v>0</v>
      </c>
      <c r="AZ120" s="50">
        <v>0</v>
      </c>
      <c r="BA120" s="470"/>
      <c r="BB120" s="50">
        <v>0</v>
      </c>
      <c r="BC120" s="50">
        <v>0</v>
      </c>
      <c r="BD120" s="50">
        <v>0</v>
      </c>
      <c r="BE120" s="50">
        <v>0</v>
      </c>
      <c r="BF120" s="470"/>
      <c r="BG120" s="50">
        <v>51.25</v>
      </c>
      <c r="BH120" s="50">
        <v>0</v>
      </c>
      <c r="BI120" s="50">
        <v>0</v>
      </c>
      <c r="BJ120" s="50">
        <v>0</v>
      </c>
      <c r="BK120" s="470"/>
      <c r="BL120" s="50">
        <v>0</v>
      </c>
      <c r="BM120" s="50">
        <v>0</v>
      </c>
      <c r="BN120" s="50">
        <v>0</v>
      </c>
      <c r="BO120" s="50">
        <v>0</v>
      </c>
      <c r="BP120" s="470"/>
      <c r="BQ120" s="50">
        <v>84.000000000000455</v>
      </c>
      <c r="BR120" s="50">
        <v>0</v>
      </c>
      <c r="BS120" s="50">
        <v>0</v>
      </c>
      <c r="BT120" s="50">
        <v>0</v>
      </c>
      <c r="BU120" s="470"/>
      <c r="BV120" s="50">
        <v>0</v>
      </c>
      <c r="BW120" s="50">
        <v>0</v>
      </c>
      <c r="BX120" s="50">
        <v>0</v>
      </c>
      <c r="BY120" s="50">
        <v>0</v>
      </c>
      <c r="BZ120" s="470"/>
      <c r="CA120" s="50">
        <v>0</v>
      </c>
      <c r="CB120" s="50">
        <v>0</v>
      </c>
      <c r="CC120" s="50">
        <v>0</v>
      </c>
      <c r="CD120" s="50">
        <v>0</v>
      </c>
      <c r="CE120" s="470"/>
      <c r="CF120" s="50">
        <v>0</v>
      </c>
      <c r="CG120" s="50">
        <v>0</v>
      </c>
      <c r="CH120" s="50">
        <v>0</v>
      </c>
      <c r="CI120" s="50">
        <v>0</v>
      </c>
      <c r="CJ120" s="470"/>
      <c r="CK120" s="50">
        <v>0</v>
      </c>
      <c r="CL120" s="50">
        <v>34.899999999999636</v>
      </c>
      <c r="CM120" s="50">
        <v>0</v>
      </c>
      <c r="CN120" s="50">
        <v>0</v>
      </c>
      <c r="CO120" s="470"/>
      <c r="CP120" s="50">
        <v>0</v>
      </c>
      <c r="CQ120" s="50">
        <v>199.89999999999964</v>
      </c>
      <c r="CR120" s="50">
        <v>0</v>
      </c>
      <c r="CS120" s="50">
        <v>0</v>
      </c>
      <c r="CT120" s="470"/>
      <c r="CU120" s="50">
        <v>0</v>
      </c>
      <c r="CV120" s="50">
        <v>0</v>
      </c>
      <c r="CW120" s="50">
        <v>0</v>
      </c>
      <c r="CX120" s="50">
        <v>0</v>
      </c>
      <c r="CY120" s="470"/>
      <c r="CZ120" s="50">
        <v>0</v>
      </c>
      <c r="DA120" s="50">
        <v>0</v>
      </c>
      <c r="DB120" s="50">
        <v>0</v>
      </c>
      <c r="DC120" s="50">
        <v>0</v>
      </c>
      <c r="DD120" s="470"/>
      <c r="DE120" s="50">
        <v>0</v>
      </c>
      <c r="DF120" s="50">
        <v>803.69999999999982</v>
      </c>
      <c r="DG120" s="50">
        <v>0</v>
      </c>
      <c r="DH120" s="50">
        <v>0</v>
      </c>
      <c r="DI120" s="470"/>
      <c r="DJ120" s="50">
        <v>0</v>
      </c>
      <c r="DK120" s="50">
        <v>0</v>
      </c>
      <c r="DL120" s="50">
        <v>0</v>
      </c>
      <c r="DM120" s="50">
        <v>0</v>
      </c>
      <c r="DN120" s="470"/>
      <c r="DO120" s="50">
        <v>0</v>
      </c>
      <c r="DP120" s="50">
        <v>324.45000000000027</v>
      </c>
      <c r="DQ120" s="50">
        <v>0</v>
      </c>
      <c r="DR120" s="50">
        <v>0</v>
      </c>
      <c r="DS120" s="470"/>
      <c r="DT120" s="50">
        <v>0</v>
      </c>
      <c r="DU120" s="50">
        <v>0</v>
      </c>
      <c r="DV120" s="50">
        <v>0</v>
      </c>
      <c r="DW120" s="50">
        <v>0</v>
      </c>
      <c r="DX120" s="470"/>
      <c r="DY120" s="50">
        <v>0</v>
      </c>
      <c r="DZ120" s="50">
        <v>1762.6750000000011</v>
      </c>
      <c r="EA120" s="50">
        <v>0</v>
      </c>
      <c r="EB120" s="50">
        <v>0</v>
      </c>
      <c r="EC120" s="470"/>
      <c r="ED120" s="50">
        <v>0</v>
      </c>
      <c r="EE120" s="50">
        <v>0</v>
      </c>
      <c r="EF120" s="50">
        <v>0</v>
      </c>
      <c r="EG120" s="50">
        <v>0</v>
      </c>
      <c r="EH120" s="470"/>
      <c r="EI120" s="50">
        <v>0</v>
      </c>
      <c r="EJ120" s="50">
        <v>0</v>
      </c>
      <c r="EK120" s="50">
        <v>0</v>
      </c>
      <c r="EL120" s="50">
        <v>0</v>
      </c>
      <c r="EM120" s="470"/>
      <c r="EN120" s="50">
        <v>0</v>
      </c>
      <c r="EO120" s="50">
        <v>189.79999999999973</v>
      </c>
      <c r="EP120" s="50">
        <v>0</v>
      </c>
      <c r="EQ120" s="50">
        <v>0</v>
      </c>
      <c r="ER120" s="470"/>
      <c r="ES120" s="50">
        <v>0</v>
      </c>
      <c r="ET120" s="50">
        <v>69.299999999999272</v>
      </c>
      <c r="EU120" s="50">
        <v>0</v>
      </c>
      <c r="EV120" s="50">
        <v>0</v>
      </c>
      <c r="EW120" s="470"/>
      <c r="EX120" s="50">
        <v>0</v>
      </c>
      <c r="EY120" s="50">
        <v>0</v>
      </c>
      <c r="EZ120" s="50">
        <v>0</v>
      </c>
      <c r="FA120" s="50">
        <v>0</v>
      </c>
      <c r="FB120" s="470"/>
      <c r="FC120" s="50">
        <v>0</v>
      </c>
      <c r="FD120" s="50">
        <v>794.150000000006</v>
      </c>
      <c r="FE120" s="50">
        <v>0</v>
      </c>
      <c r="FF120" s="50">
        <v>0</v>
      </c>
      <c r="FG120" s="470"/>
      <c r="FH120" s="50">
        <v>0</v>
      </c>
      <c r="FI120" s="50">
        <v>0.6500000000005457</v>
      </c>
      <c r="FJ120" s="50">
        <v>0</v>
      </c>
      <c r="FK120" s="50">
        <v>0</v>
      </c>
      <c r="FL120" s="470"/>
      <c r="FM120" s="50">
        <v>0</v>
      </c>
      <c r="FN120" s="50">
        <v>0</v>
      </c>
      <c r="FO120" s="50">
        <v>0</v>
      </c>
      <c r="FP120" s="50">
        <v>0</v>
      </c>
      <c r="FQ120" s="470"/>
      <c r="FR120" s="50">
        <v>0</v>
      </c>
      <c r="FS120" s="50">
        <v>0</v>
      </c>
      <c r="FT120" s="50">
        <v>0</v>
      </c>
      <c r="FU120" s="50">
        <v>0</v>
      </c>
      <c r="FV120" s="470"/>
      <c r="FW120" s="50">
        <v>0</v>
      </c>
      <c r="FX120" s="50">
        <v>0</v>
      </c>
      <c r="FY120" s="50">
        <v>0</v>
      </c>
      <c r="FZ120" s="50">
        <v>0</v>
      </c>
      <c r="GA120" s="470"/>
      <c r="GB120" s="50">
        <v>0</v>
      </c>
      <c r="GC120" s="50">
        <v>122.34999999999945</v>
      </c>
      <c r="GD120" s="50">
        <v>0</v>
      </c>
      <c r="GE120" s="50">
        <v>0</v>
      </c>
      <c r="GF120" s="470"/>
      <c r="GG120" s="50">
        <v>0</v>
      </c>
      <c r="GH120" s="50">
        <v>0</v>
      </c>
      <c r="GI120" s="50">
        <v>0</v>
      </c>
      <c r="GJ120" s="50">
        <v>0</v>
      </c>
      <c r="GK120" s="470"/>
      <c r="GL120" s="50">
        <v>0</v>
      </c>
      <c r="GM120" s="50">
        <v>462.55000000000109</v>
      </c>
      <c r="GN120" s="50">
        <v>0</v>
      </c>
      <c r="GO120" s="50">
        <v>0</v>
      </c>
      <c r="GP120" s="470"/>
      <c r="GQ120" s="50">
        <v>0</v>
      </c>
      <c r="GR120" s="50">
        <v>163.62499999999818</v>
      </c>
      <c r="GS120" s="50">
        <v>0</v>
      </c>
      <c r="GT120" s="50">
        <v>0</v>
      </c>
      <c r="GU120" s="470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2032</v>
      </c>
      <c r="B121" s="46">
        <f t="shared" si="3"/>
        <v>19251.299999999894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0"/>
      <c r="I121" s="50">
        <v>0</v>
      </c>
      <c r="J121" s="50">
        <v>0</v>
      </c>
      <c r="K121" s="50">
        <v>0</v>
      </c>
      <c r="L121" s="50">
        <v>0</v>
      </c>
      <c r="M121" s="470"/>
      <c r="N121" s="50">
        <v>0</v>
      </c>
      <c r="O121" s="50">
        <v>0</v>
      </c>
      <c r="P121" s="50">
        <v>280.53750000000002</v>
      </c>
      <c r="Q121" s="50">
        <v>0</v>
      </c>
      <c r="R121" s="470"/>
      <c r="S121" s="458">
        <v>0</v>
      </c>
      <c r="T121" s="50">
        <v>0</v>
      </c>
      <c r="U121" s="508">
        <v>160.05000000000024</v>
      </c>
      <c r="V121" s="50">
        <v>0</v>
      </c>
      <c r="W121" s="470"/>
      <c r="X121" s="50">
        <v>0</v>
      </c>
      <c r="Y121" s="50">
        <v>0</v>
      </c>
      <c r="Z121" s="50">
        <v>168.97500000000031</v>
      </c>
      <c r="AA121" s="50">
        <v>0</v>
      </c>
      <c r="AB121" s="470"/>
      <c r="AC121" s="50">
        <v>0</v>
      </c>
      <c r="AD121" s="50">
        <v>0</v>
      </c>
      <c r="AE121" s="50">
        <v>531.44999999999982</v>
      </c>
      <c r="AF121" s="50">
        <v>0</v>
      </c>
      <c r="AG121" s="470"/>
      <c r="AH121" s="50">
        <v>0</v>
      </c>
      <c r="AI121" s="50">
        <v>0</v>
      </c>
      <c r="AJ121" s="50">
        <v>759.75000000000068</v>
      </c>
      <c r="AK121" s="50">
        <v>0</v>
      </c>
      <c r="AL121" s="470"/>
      <c r="AM121" s="458">
        <v>0</v>
      </c>
      <c r="AN121" s="458">
        <v>0</v>
      </c>
      <c r="AO121" s="458">
        <v>195.71250000000089</v>
      </c>
      <c r="AP121" s="50">
        <v>0</v>
      </c>
      <c r="AQ121" s="470"/>
      <c r="AR121" s="50">
        <v>0</v>
      </c>
      <c r="AS121" s="50">
        <v>0</v>
      </c>
      <c r="AT121" s="50">
        <v>179.70000000000095</v>
      </c>
      <c r="AU121" s="50">
        <v>0</v>
      </c>
      <c r="AV121" s="470"/>
      <c r="AW121" s="50">
        <v>0</v>
      </c>
      <c r="AX121" s="50">
        <v>0</v>
      </c>
      <c r="AY121" s="50">
        <v>301.50000000000068</v>
      </c>
      <c r="AZ121" s="50">
        <v>0</v>
      </c>
      <c r="BA121" s="470"/>
      <c r="BB121" s="50">
        <v>0</v>
      </c>
      <c r="BC121" s="50">
        <v>0</v>
      </c>
      <c r="BD121" s="50">
        <v>133.20000000000027</v>
      </c>
      <c r="BE121" s="50">
        <v>0</v>
      </c>
      <c r="BF121" s="470"/>
      <c r="BG121" s="50">
        <v>0</v>
      </c>
      <c r="BH121" s="50">
        <v>0</v>
      </c>
      <c r="BI121" s="50">
        <v>162.07500000000095</v>
      </c>
      <c r="BJ121" s="50">
        <v>0</v>
      </c>
      <c r="BK121" s="470"/>
      <c r="BL121" s="50">
        <v>0</v>
      </c>
      <c r="BM121" s="50">
        <v>0</v>
      </c>
      <c r="BN121" s="50">
        <v>146.21250000000055</v>
      </c>
      <c r="BO121" s="50">
        <v>0</v>
      </c>
      <c r="BP121" s="470"/>
      <c r="BQ121" s="50">
        <v>0</v>
      </c>
      <c r="BR121" s="50">
        <v>0</v>
      </c>
      <c r="BS121" s="50">
        <v>160.23749999999973</v>
      </c>
      <c r="BT121" s="50">
        <v>0</v>
      </c>
      <c r="BU121" s="470"/>
      <c r="BV121" s="50">
        <v>0</v>
      </c>
      <c r="BW121" s="50">
        <v>0</v>
      </c>
      <c r="BX121" s="50">
        <v>0</v>
      </c>
      <c r="BY121" s="50">
        <v>743.09999999999945</v>
      </c>
      <c r="BZ121" s="470"/>
      <c r="CA121" s="50">
        <v>0</v>
      </c>
      <c r="CB121" s="50">
        <v>0</v>
      </c>
      <c r="CC121" s="50">
        <v>0</v>
      </c>
      <c r="CD121" s="50">
        <v>232</v>
      </c>
      <c r="CE121" s="470"/>
      <c r="CF121" s="50">
        <v>0</v>
      </c>
      <c r="CG121" s="50">
        <v>0</v>
      </c>
      <c r="CH121" s="50">
        <v>0</v>
      </c>
      <c r="CI121" s="50">
        <v>136.5</v>
      </c>
      <c r="CJ121" s="470"/>
      <c r="CK121" s="50">
        <v>0</v>
      </c>
      <c r="CL121" s="50">
        <v>0</v>
      </c>
      <c r="CM121" s="50">
        <v>0</v>
      </c>
      <c r="CN121" s="50">
        <v>315.54999999999927</v>
      </c>
      <c r="CO121" s="470"/>
      <c r="CP121" s="50">
        <v>0</v>
      </c>
      <c r="CQ121" s="50">
        <v>0</v>
      </c>
      <c r="CR121" s="50">
        <v>0</v>
      </c>
      <c r="CS121" s="50">
        <v>481.09999999999945</v>
      </c>
      <c r="CT121" s="470"/>
      <c r="CU121" s="50">
        <v>0</v>
      </c>
      <c r="CV121" s="50">
        <v>0</v>
      </c>
      <c r="CW121" s="50">
        <v>0</v>
      </c>
      <c r="CX121" s="50">
        <v>499.60000000000036</v>
      </c>
      <c r="CY121" s="470"/>
      <c r="CZ121" s="50">
        <v>0</v>
      </c>
      <c r="DA121" s="50">
        <v>0</v>
      </c>
      <c r="DB121" s="50">
        <v>0</v>
      </c>
      <c r="DC121" s="50">
        <v>170.49999999999909</v>
      </c>
      <c r="DD121" s="470"/>
      <c r="DE121" s="50">
        <v>0</v>
      </c>
      <c r="DF121" s="50">
        <v>0</v>
      </c>
      <c r="DG121" s="50">
        <v>0</v>
      </c>
      <c r="DH121" s="50">
        <v>1802.5</v>
      </c>
      <c r="DI121" s="470"/>
      <c r="DJ121" s="50">
        <v>0</v>
      </c>
      <c r="DK121" s="50">
        <v>0</v>
      </c>
      <c r="DL121" s="50">
        <v>0</v>
      </c>
      <c r="DM121" s="50">
        <v>0</v>
      </c>
      <c r="DN121" s="470"/>
      <c r="DO121" s="50">
        <v>0</v>
      </c>
      <c r="DP121" s="50">
        <v>0</v>
      </c>
      <c r="DQ121" s="50">
        <v>0</v>
      </c>
      <c r="DR121" s="50">
        <v>803.79999999999927</v>
      </c>
      <c r="DS121" s="470"/>
      <c r="DT121" s="50">
        <v>0</v>
      </c>
      <c r="DU121" s="50">
        <v>0</v>
      </c>
      <c r="DV121" s="50">
        <v>0</v>
      </c>
      <c r="DW121" s="50">
        <v>419.49999999999818</v>
      </c>
      <c r="DX121" s="470"/>
      <c r="DY121" s="50">
        <v>0</v>
      </c>
      <c r="DZ121" s="50">
        <v>0</v>
      </c>
      <c r="EA121" s="50">
        <v>0</v>
      </c>
      <c r="EB121" s="50">
        <v>4384.2499999999764</v>
      </c>
      <c r="EC121" s="470"/>
      <c r="ED121" s="50">
        <v>0</v>
      </c>
      <c r="EE121" s="50">
        <v>0</v>
      </c>
      <c r="EF121" s="50">
        <v>0</v>
      </c>
      <c r="EG121" s="50">
        <v>0</v>
      </c>
      <c r="EH121" s="470"/>
      <c r="EI121" s="50">
        <v>0</v>
      </c>
      <c r="EJ121" s="50">
        <v>0</v>
      </c>
      <c r="EK121" s="50">
        <v>0</v>
      </c>
      <c r="EL121" s="50">
        <v>375.39999999999418</v>
      </c>
      <c r="EM121" s="470"/>
      <c r="EN121" s="50">
        <v>0</v>
      </c>
      <c r="EO121" s="50">
        <v>0</v>
      </c>
      <c r="EP121" s="50">
        <v>0</v>
      </c>
      <c r="EQ121" s="50">
        <v>12.499999999992724</v>
      </c>
      <c r="ER121" s="470"/>
      <c r="ES121" s="50">
        <v>0</v>
      </c>
      <c r="ET121" s="50">
        <v>0</v>
      </c>
      <c r="EU121" s="50">
        <v>0</v>
      </c>
      <c r="EV121" s="50">
        <v>0</v>
      </c>
      <c r="EW121" s="470"/>
      <c r="EX121" s="50">
        <v>0</v>
      </c>
      <c r="EY121" s="50">
        <v>0</v>
      </c>
      <c r="EZ121" s="50">
        <v>0</v>
      </c>
      <c r="FA121" s="50">
        <v>129.99999999998909</v>
      </c>
      <c r="FB121" s="470"/>
      <c r="FC121" s="50">
        <v>0</v>
      </c>
      <c r="FD121" s="50">
        <v>0</v>
      </c>
      <c r="FE121" s="50">
        <v>0</v>
      </c>
      <c r="FF121" s="50">
        <v>3438.3</v>
      </c>
      <c r="FG121" s="470"/>
      <c r="FH121" s="50">
        <v>0</v>
      </c>
      <c r="FI121" s="50">
        <v>0</v>
      </c>
      <c r="FJ121" s="50">
        <v>0</v>
      </c>
      <c r="FK121" s="50">
        <v>155.99999999998909</v>
      </c>
      <c r="FL121" s="470"/>
      <c r="FM121" s="50">
        <v>0</v>
      </c>
      <c r="FN121" s="50">
        <v>0</v>
      </c>
      <c r="FO121" s="50">
        <v>0</v>
      </c>
      <c r="FP121" s="50">
        <v>100.79999999998836</v>
      </c>
      <c r="FQ121" s="470"/>
      <c r="FR121" s="50">
        <v>0</v>
      </c>
      <c r="FS121" s="50">
        <v>0</v>
      </c>
      <c r="FT121" s="50">
        <v>0</v>
      </c>
      <c r="FU121" s="50">
        <v>327.99999999998909</v>
      </c>
      <c r="FV121" s="470"/>
      <c r="FW121" s="50">
        <v>0</v>
      </c>
      <c r="FX121" s="50">
        <v>0</v>
      </c>
      <c r="FY121" s="50">
        <v>0</v>
      </c>
      <c r="FZ121" s="50">
        <v>0</v>
      </c>
      <c r="GA121" s="470"/>
      <c r="GB121" s="50">
        <v>0</v>
      </c>
      <c r="GC121" s="50">
        <v>0</v>
      </c>
      <c r="GD121" s="50">
        <v>0</v>
      </c>
      <c r="GE121" s="50">
        <v>461.39999999999054</v>
      </c>
      <c r="GF121" s="470"/>
      <c r="GG121" s="50">
        <v>0</v>
      </c>
      <c r="GH121" s="50">
        <v>0</v>
      </c>
      <c r="GI121" s="50">
        <v>0</v>
      </c>
      <c r="GJ121" s="50">
        <v>0</v>
      </c>
      <c r="GK121" s="470"/>
      <c r="GL121" s="50">
        <v>0</v>
      </c>
      <c r="GM121" s="50">
        <v>0</v>
      </c>
      <c r="GN121" s="50">
        <v>0</v>
      </c>
      <c r="GO121" s="50">
        <v>847.09999999998763</v>
      </c>
      <c r="GP121" s="470"/>
      <c r="GQ121" s="50">
        <v>0</v>
      </c>
      <c r="GR121" s="50">
        <v>0</v>
      </c>
      <c r="GS121" s="50">
        <v>0</v>
      </c>
      <c r="GT121" s="50">
        <v>233.99999999999636</v>
      </c>
      <c r="GU121" s="470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5754.00000000001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0"/>
      <c r="I122" s="50">
        <v>13.75</v>
      </c>
      <c r="J122" s="50">
        <v>0</v>
      </c>
      <c r="K122" s="50">
        <v>0</v>
      </c>
      <c r="L122" s="50">
        <v>0</v>
      </c>
      <c r="M122" s="470"/>
      <c r="N122" s="50">
        <v>141.5</v>
      </c>
      <c r="O122" s="50">
        <v>0</v>
      </c>
      <c r="P122" s="50">
        <v>0</v>
      </c>
      <c r="Q122" s="50">
        <v>0</v>
      </c>
      <c r="R122" s="470"/>
      <c r="S122" s="458">
        <v>74.225000000000023</v>
      </c>
      <c r="T122" s="50">
        <v>0</v>
      </c>
      <c r="U122" s="508">
        <v>0</v>
      </c>
      <c r="V122" s="50">
        <v>0</v>
      </c>
      <c r="W122" s="470"/>
      <c r="X122" s="50">
        <v>49.449999999999932</v>
      </c>
      <c r="Y122" s="50">
        <v>0</v>
      </c>
      <c r="Z122" s="50">
        <v>0</v>
      </c>
      <c r="AA122" s="50">
        <v>0</v>
      </c>
      <c r="AB122" s="470"/>
      <c r="AC122" s="50">
        <v>80.649999999999977</v>
      </c>
      <c r="AD122" s="50">
        <v>0</v>
      </c>
      <c r="AE122" s="50">
        <v>0</v>
      </c>
      <c r="AF122" s="50">
        <v>0</v>
      </c>
      <c r="AG122" s="470"/>
      <c r="AH122" s="50">
        <v>98.500000000000213</v>
      </c>
      <c r="AI122" s="50">
        <v>0</v>
      </c>
      <c r="AJ122" s="50">
        <v>0</v>
      </c>
      <c r="AK122" s="50">
        <v>0</v>
      </c>
      <c r="AL122" s="470"/>
      <c r="AM122" s="458">
        <v>82.925000000000068</v>
      </c>
      <c r="AN122" s="458">
        <v>0</v>
      </c>
      <c r="AO122" s="458">
        <v>0</v>
      </c>
      <c r="AP122" s="50">
        <v>0</v>
      </c>
      <c r="AQ122" s="470"/>
      <c r="AR122" s="50">
        <v>33.600000000000819</v>
      </c>
      <c r="AS122" s="50">
        <v>0</v>
      </c>
      <c r="AT122" s="50">
        <v>0</v>
      </c>
      <c r="AU122" s="50">
        <v>0</v>
      </c>
      <c r="AV122" s="470"/>
      <c r="AW122" s="50">
        <v>0</v>
      </c>
      <c r="AX122" s="50">
        <v>0</v>
      </c>
      <c r="AY122" s="50">
        <v>0</v>
      </c>
      <c r="AZ122" s="50">
        <v>0</v>
      </c>
      <c r="BA122" s="470"/>
      <c r="BB122" s="50">
        <v>0</v>
      </c>
      <c r="BC122" s="50">
        <v>0</v>
      </c>
      <c r="BD122" s="50">
        <v>0</v>
      </c>
      <c r="BE122" s="50">
        <v>0</v>
      </c>
      <c r="BF122" s="470"/>
      <c r="BG122" s="50">
        <v>36.474999999999909</v>
      </c>
      <c r="BH122" s="50">
        <v>0</v>
      </c>
      <c r="BI122" s="50">
        <v>0</v>
      </c>
      <c r="BJ122" s="50">
        <v>0</v>
      </c>
      <c r="BK122" s="470"/>
      <c r="BL122" s="50">
        <v>0</v>
      </c>
      <c r="BM122" s="50">
        <v>0</v>
      </c>
      <c r="BN122" s="50">
        <v>0</v>
      </c>
      <c r="BO122" s="50">
        <v>0</v>
      </c>
      <c r="BP122" s="470"/>
      <c r="BQ122" s="50">
        <v>27.850000000000819</v>
      </c>
      <c r="BR122" s="50">
        <v>0</v>
      </c>
      <c r="BS122" s="50">
        <v>0</v>
      </c>
      <c r="BT122" s="50">
        <v>0</v>
      </c>
      <c r="BU122" s="470"/>
      <c r="BV122" s="50">
        <v>0</v>
      </c>
      <c r="BW122" s="50">
        <v>0</v>
      </c>
      <c r="BX122" s="50">
        <v>0</v>
      </c>
      <c r="BY122" s="50">
        <v>0</v>
      </c>
      <c r="BZ122" s="470"/>
      <c r="CA122" s="50">
        <v>0</v>
      </c>
      <c r="CB122" s="50">
        <v>0</v>
      </c>
      <c r="CC122" s="50">
        <v>0</v>
      </c>
      <c r="CD122" s="50">
        <v>0</v>
      </c>
      <c r="CE122" s="470"/>
      <c r="CF122" s="50">
        <v>0</v>
      </c>
      <c r="CG122" s="50">
        <v>0</v>
      </c>
      <c r="CH122" s="50">
        <v>0</v>
      </c>
      <c r="CI122" s="50">
        <v>0</v>
      </c>
      <c r="CJ122" s="470"/>
      <c r="CK122" s="50">
        <v>0</v>
      </c>
      <c r="CL122" s="50">
        <v>168.89999999999873</v>
      </c>
      <c r="CM122" s="50">
        <v>0</v>
      </c>
      <c r="CN122" s="50">
        <v>0</v>
      </c>
      <c r="CO122" s="470"/>
      <c r="CP122" s="50">
        <v>0</v>
      </c>
      <c r="CQ122" s="50">
        <v>309.19999999999982</v>
      </c>
      <c r="CR122" s="50">
        <v>0</v>
      </c>
      <c r="CS122" s="50">
        <v>0</v>
      </c>
      <c r="CT122" s="470"/>
      <c r="CU122" s="50">
        <v>0</v>
      </c>
      <c r="CV122" s="50">
        <v>0</v>
      </c>
      <c r="CW122" s="50">
        <v>0</v>
      </c>
      <c r="CX122" s="50">
        <v>0</v>
      </c>
      <c r="CY122" s="470"/>
      <c r="CZ122" s="50">
        <v>0</v>
      </c>
      <c r="DA122" s="50">
        <v>0</v>
      </c>
      <c r="DB122" s="50">
        <v>0</v>
      </c>
      <c r="DC122" s="50">
        <v>0</v>
      </c>
      <c r="DD122" s="470"/>
      <c r="DE122" s="50">
        <v>0</v>
      </c>
      <c r="DF122" s="50">
        <v>131.95000000000255</v>
      </c>
      <c r="DG122" s="50">
        <v>0</v>
      </c>
      <c r="DH122" s="50">
        <v>0</v>
      </c>
      <c r="DI122" s="470"/>
      <c r="DJ122" s="50">
        <v>0</v>
      </c>
      <c r="DK122" s="50">
        <v>0</v>
      </c>
      <c r="DL122" s="50">
        <v>0</v>
      </c>
      <c r="DM122" s="50">
        <v>0</v>
      </c>
      <c r="DN122" s="470"/>
      <c r="DO122" s="50">
        <v>0</v>
      </c>
      <c r="DP122" s="50">
        <v>379.40000000000009</v>
      </c>
      <c r="DQ122" s="50">
        <v>0</v>
      </c>
      <c r="DR122" s="50">
        <v>0</v>
      </c>
      <c r="DS122" s="470"/>
      <c r="DT122" s="50">
        <v>0</v>
      </c>
      <c r="DU122" s="50">
        <v>0</v>
      </c>
      <c r="DV122" s="50">
        <v>0</v>
      </c>
      <c r="DW122" s="50">
        <v>0</v>
      </c>
      <c r="DX122" s="470"/>
      <c r="DY122" s="50">
        <v>0</v>
      </c>
      <c r="DZ122" s="50">
        <v>1970.0499999999993</v>
      </c>
      <c r="EA122" s="50">
        <v>0</v>
      </c>
      <c r="EB122" s="50">
        <v>0</v>
      </c>
      <c r="EC122" s="470"/>
      <c r="ED122" s="50">
        <v>0</v>
      </c>
      <c r="EE122" s="50">
        <v>0</v>
      </c>
      <c r="EF122" s="50">
        <v>0</v>
      </c>
      <c r="EG122" s="50">
        <v>0</v>
      </c>
      <c r="EH122" s="470"/>
      <c r="EI122" s="50">
        <v>0</v>
      </c>
      <c r="EJ122" s="50">
        <v>0</v>
      </c>
      <c r="EK122" s="50">
        <v>0</v>
      </c>
      <c r="EL122" s="50">
        <v>0</v>
      </c>
      <c r="EM122" s="470"/>
      <c r="EN122" s="50">
        <v>0</v>
      </c>
      <c r="EO122" s="50">
        <v>140.04999999999995</v>
      </c>
      <c r="EP122" s="50">
        <v>0</v>
      </c>
      <c r="EQ122" s="50">
        <v>0</v>
      </c>
      <c r="ER122" s="470"/>
      <c r="ES122" s="50">
        <v>0</v>
      </c>
      <c r="ET122" s="50">
        <v>134.90000000000055</v>
      </c>
      <c r="EU122" s="50">
        <v>0</v>
      </c>
      <c r="EV122" s="50">
        <v>0</v>
      </c>
      <c r="EW122" s="470"/>
      <c r="EX122" s="50">
        <v>0</v>
      </c>
      <c r="EY122" s="50">
        <v>0</v>
      </c>
      <c r="EZ122" s="50">
        <v>0</v>
      </c>
      <c r="FA122" s="50">
        <v>0</v>
      </c>
      <c r="FB122" s="470"/>
      <c r="FC122" s="50">
        <v>0</v>
      </c>
      <c r="FD122" s="50">
        <v>1197.9000000000051</v>
      </c>
      <c r="FE122" s="50">
        <v>0</v>
      </c>
      <c r="FF122" s="50">
        <v>0</v>
      </c>
      <c r="FG122" s="470"/>
      <c r="FH122" s="50">
        <v>0</v>
      </c>
      <c r="FI122" s="50">
        <v>16.500000000000455</v>
      </c>
      <c r="FJ122" s="50">
        <v>0</v>
      </c>
      <c r="FK122" s="50">
        <v>0</v>
      </c>
      <c r="FL122" s="470"/>
      <c r="FM122" s="50">
        <v>0</v>
      </c>
      <c r="FN122" s="50">
        <v>0</v>
      </c>
      <c r="FO122" s="50">
        <v>0</v>
      </c>
      <c r="FP122" s="50">
        <v>0</v>
      </c>
      <c r="FQ122" s="470"/>
      <c r="FR122" s="50">
        <v>0</v>
      </c>
      <c r="FS122" s="50">
        <v>0</v>
      </c>
      <c r="FT122" s="50">
        <v>0</v>
      </c>
      <c r="FU122" s="50">
        <v>0</v>
      </c>
      <c r="FV122" s="470"/>
      <c r="FW122" s="50">
        <v>0</v>
      </c>
      <c r="FX122" s="50">
        <v>0</v>
      </c>
      <c r="FY122" s="50">
        <v>0</v>
      </c>
      <c r="FZ122" s="50">
        <v>0</v>
      </c>
      <c r="GA122" s="470"/>
      <c r="GB122" s="50">
        <v>0</v>
      </c>
      <c r="GC122" s="50">
        <v>51.100000000000136</v>
      </c>
      <c r="GD122" s="50">
        <v>0</v>
      </c>
      <c r="GE122" s="50">
        <v>0</v>
      </c>
      <c r="GF122" s="470"/>
      <c r="GG122" s="50">
        <v>0</v>
      </c>
      <c r="GH122" s="50">
        <v>0</v>
      </c>
      <c r="GI122" s="50">
        <v>0</v>
      </c>
      <c r="GJ122" s="50">
        <v>0</v>
      </c>
      <c r="GK122" s="470"/>
      <c r="GL122" s="50">
        <v>0</v>
      </c>
      <c r="GM122" s="50">
        <v>468.49999999999727</v>
      </c>
      <c r="GN122" s="50">
        <v>0</v>
      </c>
      <c r="GO122" s="50">
        <v>0</v>
      </c>
      <c r="GP122" s="470"/>
      <c r="GQ122" s="50">
        <v>0</v>
      </c>
      <c r="GR122" s="50">
        <v>77.250000000003638</v>
      </c>
      <c r="GS122" s="50">
        <v>0</v>
      </c>
      <c r="GT122" s="50">
        <v>0</v>
      </c>
      <c r="GU122" s="470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12376.58749999998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0"/>
      <c r="I123" s="50">
        <v>0</v>
      </c>
      <c r="J123" s="50">
        <v>0</v>
      </c>
      <c r="K123" s="50">
        <v>0</v>
      </c>
      <c r="L123" s="50">
        <v>0</v>
      </c>
      <c r="M123" s="470"/>
      <c r="N123" s="50">
        <v>0</v>
      </c>
      <c r="O123" s="50">
        <v>211.14999999999998</v>
      </c>
      <c r="P123" s="50">
        <v>0</v>
      </c>
      <c r="Q123" s="50">
        <v>0</v>
      </c>
      <c r="R123" s="470"/>
      <c r="S123" s="458">
        <v>0</v>
      </c>
      <c r="T123" s="50">
        <v>73</v>
      </c>
      <c r="U123" s="508">
        <v>0</v>
      </c>
      <c r="V123" s="50">
        <v>0</v>
      </c>
      <c r="W123" s="470"/>
      <c r="X123" s="50">
        <v>0</v>
      </c>
      <c r="Y123" s="50">
        <v>180.8499999999998</v>
      </c>
      <c r="Z123" s="50">
        <v>0</v>
      </c>
      <c r="AA123" s="50">
        <v>0</v>
      </c>
      <c r="AB123" s="470"/>
      <c r="AC123" s="50">
        <v>0</v>
      </c>
      <c r="AD123" s="50">
        <v>227.79999999999984</v>
      </c>
      <c r="AE123" s="50">
        <v>0</v>
      </c>
      <c r="AF123" s="50">
        <v>0</v>
      </c>
      <c r="AG123" s="470"/>
      <c r="AH123" s="50">
        <v>0</v>
      </c>
      <c r="AI123" s="50">
        <v>428.99999999999955</v>
      </c>
      <c r="AJ123" s="50">
        <v>0</v>
      </c>
      <c r="AK123" s="50">
        <v>0</v>
      </c>
      <c r="AL123" s="470"/>
      <c r="AM123" s="458">
        <v>0</v>
      </c>
      <c r="AN123" s="458">
        <v>325.64999999999986</v>
      </c>
      <c r="AO123" s="458">
        <v>0</v>
      </c>
      <c r="AP123" s="50">
        <v>0</v>
      </c>
      <c r="AQ123" s="470"/>
      <c r="AR123" s="50">
        <v>0</v>
      </c>
      <c r="AS123" s="50">
        <v>23.249999999999773</v>
      </c>
      <c r="AT123" s="50">
        <v>0</v>
      </c>
      <c r="AU123" s="50">
        <v>0</v>
      </c>
      <c r="AV123" s="470"/>
      <c r="AW123" s="50">
        <v>0</v>
      </c>
      <c r="AX123" s="50">
        <v>123.44999999999936</v>
      </c>
      <c r="AY123" s="50">
        <v>0</v>
      </c>
      <c r="AZ123" s="50">
        <v>0</v>
      </c>
      <c r="BA123" s="470"/>
      <c r="BB123" s="50">
        <v>0</v>
      </c>
      <c r="BC123" s="50">
        <v>105.89999999999964</v>
      </c>
      <c r="BD123" s="50">
        <v>0</v>
      </c>
      <c r="BE123" s="50">
        <v>0</v>
      </c>
      <c r="BF123" s="470"/>
      <c r="BG123" s="50">
        <v>0</v>
      </c>
      <c r="BH123" s="50">
        <v>195.59999999999968</v>
      </c>
      <c r="BI123" s="50">
        <v>0</v>
      </c>
      <c r="BJ123" s="50">
        <v>0</v>
      </c>
      <c r="BK123" s="470"/>
      <c r="BL123" s="50">
        <v>0</v>
      </c>
      <c r="BM123" s="50">
        <v>60.499999999999545</v>
      </c>
      <c r="BN123" s="50">
        <v>0</v>
      </c>
      <c r="BO123" s="50">
        <v>0</v>
      </c>
      <c r="BP123" s="470"/>
      <c r="BQ123" s="50">
        <v>0</v>
      </c>
      <c r="BR123" s="50">
        <v>146.59999999999991</v>
      </c>
      <c r="BS123" s="50">
        <v>0</v>
      </c>
      <c r="BT123" s="50">
        <v>0</v>
      </c>
      <c r="BU123" s="470"/>
      <c r="BV123" s="50">
        <v>0</v>
      </c>
      <c r="BW123" s="50">
        <v>0</v>
      </c>
      <c r="BX123" s="50">
        <v>668.77499999999986</v>
      </c>
      <c r="BY123" s="50">
        <v>0</v>
      </c>
      <c r="BZ123" s="470"/>
      <c r="CA123" s="50">
        <v>0</v>
      </c>
      <c r="CB123" s="50">
        <v>0</v>
      </c>
      <c r="CC123" s="50">
        <v>440.77499999999782</v>
      </c>
      <c r="CD123" s="50">
        <v>0</v>
      </c>
      <c r="CE123" s="470"/>
      <c r="CF123" s="50">
        <v>0</v>
      </c>
      <c r="CG123" s="50">
        <v>0</v>
      </c>
      <c r="CH123" s="50">
        <v>283.875</v>
      </c>
      <c r="CI123" s="50">
        <v>0</v>
      </c>
      <c r="CJ123" s="470"/>
      <c r="CK123" s="50">
        <v>0</v>
      </c>
      <c r="CL123" s="50">
        <v>0</v>
      </c>
      <c r="CM123" s="50">
        <v>257.4750000000015</v>
      </c>
      <c r="CN123" s="50">
        <v>0</v>
      </c>
      <c r="CO123" s="470"/>
      <c r="CP123" s="50">
        <v>0</v>
      </c>
      <c r="CQ123" s="50">
        <v>0</v>
      </c>
      <c r="CR123" s="50">
        <v>443.55000000000109</v>
      </c>
      <c r="CS123" s="50">
        <v>0</v>
      </c>
      <c r="CT123" s="470"/>
      <c r="CU123" s="50">
        <v>0</v>
      </c>
      <c r="CV123" s="50">
        <v>0</v>
      </c>
      <c r="CW123" s="50">
        <v>385.61250000000109</v>
      </c>
      <c r="CX123" s="50">
        <v>0</v>
      </c>
      <c r="CY123" s="470"/>
      <c r="CZ123" s="50">
        <v>0</v>
      </c>
      <c r="DA123" s="50">
        <v>0</v>
      </c>
      <c r="DB123" s="50">
        <v>119.47500000000218</v>
      </c>
      <c r="DC123" s="50">
        <v>0</v>
      </c>
      <c r="DD123" s="470"/>
      <c r="DE123" s="50">
        <v>0</v>
      </c>
      <c r="DF123" s="50">
        <v>0</v>
      </c>
      <c r="DG123" s="50">
        <v>620.40000000000191</v>
      </c>
      <c r="DH123" s="50">
        <v>0</v>
      </c>
      <c r="DI123" s="470"/>
      <c r="DJ123" s="50">
        <v>0</v>
      </c>
      <c r="DK123" s="50">
        <v>0</v>
      </c>
      <c r="DL123" s="50">
        <v>0</v>
      </c>
      <c r="DM123" s="50">
        <v>0</v>
      </c>
      <c r="DN123" s="470"/>
      <c r="DO123" s="50">
        <v>0</v>
      </c>
      <c r="DP123" s="50">
        <v>0</v>
      </c>
      <c r="DQ123" s="50">
        <v>439.42500000000109</v>
      </c>
      <c r="DR123" s="50">
        <v>0</v>
      </c>
      <c r="DS123" s="470"/>
      <c r="DT123" s="50">
        <v>0</v>
      </c>
      <c r="DU123" s="50">
        <v>0</v>
      </c>
      <c r="DV123" s="50">
        <v>444.52500000000055</v>
      </c>
      <c r="DW123" s="50">
        <v>0</v>
      </c>
      <c r="DX123" s="470"/>
      <c r="DY123" s="50">
        <v>0</v>
      </c>
      <c r="DZ123" s="50">
        <v>0</v>
      </c>
      <c r="EA123" s="50">
        <v>2384.4750000000431</v>
      </c>
      <c r="EB123" s="50">
        <v>0</v>
      </c>
      <c r="EC123" s="470"/>
      <c r="ED123" s="50">
        <v>0</v>
      </c>
      <c r="EE123" s="50">
        <v>0</v>
      </c>
      <c r="EF123" s="50">
        <v>0</v>
      </c>
      <c r="EG123" s="50">
        <v>0</v>
      </c>
      <c r="EH123" s="470"/>
      <c r="EI123" s="50">
        <v>0</v>
      </c>
      <c r="EJ123" s="50">
        <v>0</v>
      </c>
      <c r="EK123" s="50">
        <v>31.499999999998636</v>
      </c>
      <c r="EL123" s="50">
        <v>0</v>
      </c>
      <c r="EM123" s="470"/>
      <c r="EN123" s="50">
        <v>0</v>
      </c>
      <c r="EO123" s="50">
        <v>0</v>
      </c>
      <c r="EP123" s="50">
        <v>131.54999999999973</v>
      </c>
      <c r="EQ123" s="50">
        <v>0</v>
      </c>
      <c r="ER123" s="470"/>
      <c r="ES123" s="50">
        <v>0</v>
      </c>
      <c r="ET123" s="50">
        <v>0</v>
      </c>
      <c r="EU123" s="50">
        <v>237.97499999999945</v>
      </c>
      <c r="EV123" s="50">
        <v>0</v>
      </c>
      <c r="EW123" s="470"/>
      <c r="EX123" s="50">
        <v>0</v>
      </c>
      <c r="EY123" s="50">
        <v>0</v>
      </c>
      <c r="EZ123" s="50">
        <v>0</v>
      </c>
      <c r="FA123" s="50">
        <v>0</v>
      </c>
      <c r="FB123" s="470"/>
      <c r="FC123" s="50">
        <v>0</v>
      </c>
      <c r="FD123" s="50">
        <v>0</v>
      </c>
      <c r="FE123" s="50">
        <v>1460.2499999999454</v>
      </c>
      <c r="FF123" s="50">
        <v>0</v>
      </c>
      <c r="FG123" s="470"/>
      <c r="FH123" s="50">
        <v>0</v>
      </c>
      <c r="FI123" s="50">
        <v>0</v>
      </c>
      <c r="FJ123" s="50">
        <v>234.74999999999864</v>
      </c>
      <c r="FK123" s="50">
        <v>0</v>
      </c>
      <c r="FL123" s="470"/>
      <c r="FM123" s="50">
        <v>0</v>
      </c>
      <c r="FN123" s="50">
        <v>0</v>
      </c>
      <c r="FO123" s="50">
        <v>0</v>
      </c>
      <c r="FP123" s="50">
        <v>0</v>
      </c>
      <c r="FQ123" s="470"/>
      <c r="FR123" s="50">
        <v>0</v>
      </c>
      <c r="FS123" s="50">
        <v>0</v>
      </c>
      <c r="FT123" s="50">
        <v>0</v>
      </c>
      <c r="FU123" s="50">
        <v>0</v>
      </c>
      <c r="FV123" s="470"/>
      <c r="FW123" s="50">
        <v>0</v>
      </c>
      <c r="FX123" s="50">
        <v>0</v>
      </c>
      <c r="FY123" s="50">
        <v>0</v>
      </c>
      <c r="FZ123" s="50">
        <v>0</v>
      </c>
      <c r="GA123" s="470"/>
      <c r="GB123" s="50">
        <v>0</v>
      </c>
      <c r="GC123" s="50">
        <v>0</v>
      </c>
      <c r="GD123" s="50">
        <v>269.17499999999836</v>
      </c>
      <c r="GE123" s="50">
        <v>0</v>
      </c>
      <c r="GF123" s="470"/>
      <c r="GG123" s="50">
        <v>0</v>
      </c>
      <c r="GH123" s="50">
        <v>0</v>
      </c>
      <c r="GI123" s="50">
        <v>0</v>
      </c>
      <c r="GJ123" s="50">
        <v>0</v>
      </c>
      <c r="GK123" s="470"/>
      <c r="GL123" s="50">
        <v>0</v>
      </c>
      <c r="GM123" s="50">
        <v>0</v>
      </c>
      <c r="GN123" s="50">
        <v>425.54999999999563</v>
      </c>
      <c r="GO123" s="50">
        <v>0</v>
      </c>
      <c r="GP123" s="470"/>
      <c r="GQ123" s="50">
        <v>0</v>
      </c>
      <c r="GR123" s="50">
        <v>0</v>
      </c>
      <c r="GS123" s="50">
        <v>175.49999999999454</v>
      </c>
      <c r="GT123" s="50">
        <v>0</v>
      </c>
      <c r="GU123" s="470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5178.3750000000455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0"/>
      <c r="I124" s="50">
        <v>11.000000000000014</v>
      </c>
      <c r="J124" s="50">
        <v>0</v>
      </c>
      <c r="K124" s="50">
        <v>0</v>
      </c>
      <c r="L124" s="50">
        <v>0</v>
      </c>
      <c r="M124" s="470"/>
      <c r="N124" s="50">
        <v>113.12500000000011</v>
      </c>
      <c r="O124" s="50">
        <v>0</v>
      </c>
      <c r="P124" s="50">
        <v>0</v>
      </c>
      <c r="Q124" s="50">
        <v>0</v>
      </c>
      <c r="R124" s="470"/>
      <c r="S124" s="458">
        <v>19.425000000000068</v>
      </c>
      <c r="T124" s="50">
        <v>0</v>
      </c>
      <c r="U124" s="508">
        <v>0</v>
      </c>
      <c r="V124" s="50">
        <v>0</v>
      </c>
      <c r="W124" s="470"/>
      <c r="X124" s="50">
        <v>15.875000000000114</v>
      </c>
      <c r="Y124" s="50">
        <v>0</v>
      </c>
      <c r="Z124" s="50">
        <v>0</v>
      </c>
      <c r="AA124" s="50">
        <v>0</v>
      </c>
      <c r="AB124" s="470"/>
      <c r="AC124" s="50">
        <v>91.550000000000011</v>
      </c>
      <c r="AD124" s="50">
        <v>0</v>
      </c>
      <c r="AE124" s="50">
        <v>0</v>
      </c>
      <c r="AF124" s="50">
        <v>0</v>
      </c>
      <c r="AG124" s="470"/>
      <c r="AH124" s="50">
        <v>22.049999999999955</v>
      </c>
      <c r="AI124" s="50">
        <v>0</v>
      </c>
      <c r="AJ124" s="50">
        <v>0</v>
      </c>
      <c r="AK124" s="50">
        <v>0</v>
      </c>
      <c r="AL124" s="470"/>
      <c r="AM124" s="458">
        <v>75.975000000000023</v>
      </c>
      <c r="AN124" s="458">
        <v>0</v>
      </c>
      <c r="AO124" s="458">
        <v>0</v>
      </c>
      <c r="AP124" s="50">
        <v>0</v>
      </c>
      <c r="AQ124" s="470"/>
      <c r="AR124" s="50">
        <v>0</v>
      </c>
      <c r="AS124" s="50">
        <v>0</v>
      </c>
      <c r="AT124" s="50">
        <v>0</v>
      </c>
      <c r="AU124" s="50">
        <v>0</v>
      </c>
      <c r="AV124" s="470"/>
      <c r="AW124" s="50">
        <v>0</v>
      </c>
      <c r="AX124" s="50">
        <v>0</v>
      </c>
      <c r="AY124" s="50">
        <v>0</v>
      </c>
      <c r="AZ124" s="50">
        <v>0</v>
      </c>
      <c r="BA124" s="470"/>
      <c r="BB124" s="50">
        <v>0</v>
      </c>
      <c r="BC124" s="50">
        <v>0</v>
      </c>
      <c r="BD124" s="50">
        <v>0</v>
      </c>
      <c r="BE124" s="50">
        <v>0</v>
      </c>
      <c r="BF124" s="470"/>
      <c r="BG124" s="50">
        <v>25.075000000000728</v>
      </c>
      <c r="BH124" s="50">
        <v>0</v>
      </c>
      <c r="BI124" s="50">
        <v>0</v>
      </c>
      <c r="BJ124" s="50">
        <v>0</v>
      </c>
      <c r="BK124" s="470"/>
      <c r="BL124" s="50">
        <v>0</v>
      </c>
      <c r="BM124" s="50">
        <v>0</v>
      </c>
      <c r="BN124" s="50">
        <v>0</v>
      </c>
      <c r="BO124" s="50">
        <v>0</v>
      </c>
      <c r="BP124" s="470"/>
      <c r="BQ124" s="50">
        <v>45.950000000000728</v>
      </c>
      <c r="BR124" s="50">
        <v>0</v>
      </c>
      <c r="BS124" s="50">
        <v>0</v>
      </c>
      <c r="BT124" s="50">
        <v>0</v>
      </c>
      <c r="BU124" s="470"/>
      <c r="BV124" s="50">
        <v>0</v>
      </c>
      <c r="BW124" s="50">
        <v>0</v>
      </c>
      <c r="BX124" s="50">
        <v>0</v>
      </c>
      <c r="BY124" s="50">
        <v>0</v>
      </c>
      <c r="BZ124" s="470"/>
      <c r="CA124" s="50">
        <v>0</v>
      </c>
      <c r="CB124" s="50">
        <v>0</v>
      </c>
      <c r="CC124" s="50">
        <v>0</v>
      </c>
      <c r="CD124" s="50">
        <v>0</v>
      </c>
      <c r="CE124" s="470"/>
      <c r="CF124" s="50">
        <v>0</v>
      </c>
      <c r="CG124" s="50">
        <v>0</v>
      </c>
      <c r="CH124" s="50">
        <v>0</v>
      </c>
      <c r="CI124" s="50">
        <v>0</v>
      </c>
      <c r="CJ124" s="470"/>
      <c r="CK124" s="50">
        <v>0</v>
      </c>
      <c r="CL124" s="50">
        <v>103.60000000000218</v>
      </c>
      <c r="CM124" s="50">
        <v>0</v>
      </c>
      <c r="CN124" s="50">
        <v>0</v>
      </c>
      <c r="CO124" s="470"/>
      <c r="CP124" s="50">
        <v>0</v>
      </c>
      <c r="CQ124" s="50">
        <v>223.90000000000055</v>
      </c>
      <c r="CR124" s="50">
        <v>0</v>
      </c>
      <c r="CS124" s="50">
        <v>0</v>
      </c>
      <c r="CT124" s="470"/>
      <c r="CU124" s="50">
        <v>0</v>
      </c>
      <c r="CV124" s="50">
        <v>0</v>
      </c>
      <c r="CW124" s="50">
        <v>0</v>
      </c>
      <c r="CX124" s="50">
        <v>0</v>
      </c>
      <c r="CY124" s="470"/>
      <c r="CZ124" s="50">
        <v>0</v>
      </c>
      <c r="DA124" s="50">
        <v>0</v>
      </c>
      <c r="DB124" s="50">
        <v>0</v>
      </c>
      <c r="DC124" s="50">
        <v>0</v>
      </c>
      <c r="DD124" s="470"/>
      <c r="DE124" s="50">
        <v>0</v>
      </c>
      <c r="DF124" s="50">
        <v>467.20000000000164</v>
      </c>
      <c r="DG124" s="50">
        <v>0</v>
      </c>
      <c r="DH124" s="50">
        <v>0</v>
      </c>
      <c r="DI124" s="470"/>
      <c r="DJ124" s="50">
        <v>0</v>
      </c>
      <c r="DK124" s="50">
        <v>0</v>
      </c>
      <c r="DL124" s="50">
        <v>0</v>
      </c>
      <c r="DM124" s="50">
        <v>0</v>
      </c>
      <c r="DN124" s="470"/>
      <c r="DO124" s="50">
        <v>0</v>
      </c>
      <c r="DP124" s="50">
        <v>294.65000000000009</v>
      </c>
      <c r="DQ124" s="50">
        <v>0</v>
      </c>
      <c r="DR124" s="50">
        <v>0</v>
      </c>
      <c r="DS124" s="470"/>
      <c r="DT124" s="50">
        <v>0</v>
      </c>
      <c r="DU124" s="50">
        <v>0</v>
      </c>
      <c r="DV124" s="50">
        <v>0</v>
      </c>
      <c r="DW124" s="50">
        <v>0</v>
      </c>
      <c r="DX124" s="470"/>
      <c r="DY124" s="50">
        <v>0</v>
      </c>
      <c r="DZ124" s="50">
        <v>1847.5500000000011</v>
      </c>
      <c r="EA124" s="50">
        <v>0</v>
      </c>
      <c r="EB124" s="50">
        <v>0</v>
      </c>
      <c r="EC124" s="470"/>
      <c r="ED124" s="50">
        <v>0</v>
      </c>
      <c r="EE124" s="50">
        <v>0</v>
      </c>
      <c r="EF124" s="50">
        <v>0</v>
      </c>
      <c r="EG124" s="50">
        <v>0</v>
      </c>
      <c r="EH124" s="470"/>
      <c r="EI124" s="50">
        <v>0</v>
      </c>
      <c r="EJ124" s="50">
        <v>0</v>
      </c>
      <c r="EK124" s="50">
        <v>0</v>
      </c>
      <c r="EL124" s="50">
        <v>0</v>
      </c>
      <c r="EM124" s="470"/>
      <c r="EN124" s="50">
        <v>0</v>
      </c>
      <c r="EO124" s="50">
        <v>34.200000000000045</v>
      </c>
      <c r="EP124" s="50">
        <v>0</v>
      </c>
      <c r="EQ124" s="50">
        <v>0</v>
      </c>
      <c r="ER124" s="470"/>
      <c r="ES124" s="50">
        <v>0</v>
      </c>
      <c r="ET124" s="50">
        <v>125.95000000000164</v>
      </c>
      <c r="EU124" s="50">
        <v>0</v>
      </c>
      <c r="EV124" s="50">
        <v>0</v>
      </c>
      <c r="EW124" s="470"/>
      <c r="EX124" s="50">
        <v>0</v>
      </c>
      <c r="EY124" s="50">
        <v>0</v>
      </c>
      <c r="EZ124" s="50">
        <v>0</v>
      </c>
      <c r="FA124" s="50">
        <v>0</v>
      </c>
      <c r="FB124" s="470"/>
      <c r="FC124" s="50">
        <v>0</v>
      </c>
      <c r="FD124" s="50">
        <v>897.85000000002856</v>
      </c>
      <c r="FE124" s="50">
        <v>0</v>
      </c>
      <c r="FF124" s="50">
        <v>0</v>
      </c>
      <c r="FG124" s="470"/>
      <c r="FH124" s="50">
        <v>0</v>
      </c>
      <c r="FI124" s="50">
        <v>71.5</v>
      </c>
      <c r="FJ124" s="50">
        <v>0</v>
      </c>
      <c r="FK124" s="50">
        <v>0</v>
      </c>
      <c r="FL124" s="470"/>
      <c r="FM124" s="50">
        <v>0</v>
      </c>
      <c r="FN124" s="50">
        <v>0</v>
      </c>
      <c r="FO124" s="50">
        <v>0</v>
      </c>
      <c r="FP124" s="50">
        <v>0</v>
      </c>
      <c r="FQ124" s="470"/>
      <c r="FR124" s="50">
        <v>0</v>
      </c>
      <c r="FS124" s="50">
        <v>0</v>
      </c>
      <c r="FT124" s="50">
        <v>0</v>
      </c>
      <c r="FU124" s="50">
        <v>0</v>
      </c>
      <c r="FV124" s="470"/>
      <c r="FW124" s="50">
        <v>0</v>
      </c>
      <c r="FX124" s="50">
        <v>0</v>
      </c>
      <c r="FY124" s="50">
        <v>0</v>
      </c>
      <c r="FZ124" s="50">
        <v>0</v>
      </c>
      <c r="GA124" s="470"/>
      <c r="GB124" s="50">
        <v>0</v>
      </c>
      <c r="GC124" s="50">
        <v>182.79999999999995</v>
      </c>
      <c r="GD124" s="50">
        <v>0</v>
      </c>
      <c r="GE124" s="50">
        <v>0</v>
      </c>
      <c r="GF124" s="470"/>
      <c r="GG124" s="50">
        <v>0</v>
      </c>
      <c r="GH124" s="50">
        <v>0</v>
      </c>
      <c r="GI124" s="50">
        <v>0</v>
      </c>
      <c r="GJ124" s="50">
        <v>0</v>
      </c>
      <c r="GK124" s="470"/>
      <c r="GL124" s="50">
        <v>0</v>
      </c>
      <c r="GM124" s="50">
        <v>269.55000000000382</v>
      </c>
      <c r="GN124" s="50">
        <v>0</v>
      </c>
      <c r="GO124" s="50">
        <v>0</v>
      </c>
      <c r="GP124" s="470"/>
      <c r="GQ124" s="50">
        <v>0</v>
      </c>
      <c r="GR124" s="50">
        <v>179.75000000000364</v>
      </c>
      <c r="GS124" s="50">
        <v>0</v>
      </c>
      <c r="GT124" s="50">
        <v>0</v>
      </c>
      <c r="GU124" s="470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9897.8124999999782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0"/>
      <c r="I125" s="50">
        <v>27.624999999999986</v>
      </c>
      <c r="J125" s="50">
        <v>0</v>
      </c>
      <c r="K125" s="50">
        <v>0</v>
      </c>
      <c r="L125" s="50">
        <v>0</v>
      </c>
      <c r="M125" s="470"/>
      <c r="N125" s="50">
        <v>100.9500000000001</v>
      </c>
      <c r="O125" s="50">
        <v>0</v>
      </c>
      <c r="P125" s="50">
        <v>0</v>
      </c>
      <c r="Q125" s="50">
        <v>0</v>
      </c>
      <c r="R125" s="470"/>
      <c r="S125" s="458">
        <v>32.550000000000125</v>
      </c>
      <c r="T125" s="50">
        <v>0</v>
      </c>
      <c r="U125" s="508">
        <v>0</v>
      </c>
      <c r="V125" s="50">
        <v>0</v>
      </c>
      <c r="W125" s="470"/>
      <c r="X125" s="50">
        <v>52.800000000000068</v>
      </c>
      <c r="Y125" s="50">
        <v>0</v>
      </c>
      <c r="Z125" s="50">
        <v>0</v>
      </c>
      <c r="AA125" s="50">
        <v>0</v>
      </c>
      <c r="AB125" s="470"/>
      <c r="AC125" s="50">
        <v>106.30000000000001</v>
      </c>
      <c r="AD125" s="50">
        <v>0</v>
      </c>
      <c r="AE125" s="50">
        <v>0</v>
      </c>
      <c r="AF125" s="50">
        <v>0</v>
      </c>
      <c r="AG125" s="470"/>
      <c r="AH125" s="50">
        <v>59.499999999999545</v>
      </c>
      <c r="AI125" s="50">
        <v>0</v>
      </c>
      <c r="AJ125" s="50">
        <v>0</v>
      </c>
      <c r="AK125" s="50">
        <v>0</v>
      </c>
      <c r="AL125" s="470"/>
      <c r="AM125" s="458">
        <v>108.10000000000014</v>
      </c>
      <c r="AN125" s="458">
        <v>0</v>
      </c>
      <c r="AO125" s="458">
        <v>0</v>
      </c>
      <c r="AP125" s="50">
        <v>0</v>
      </c>
      <c r="AQ125" s="470"/>
      <c r="AR125" s="50">
        <v>2.375</v>
      </c>
      <c r="AS125" s="50">
        <v>0</v>
      </c>
      <c r="AT125" s="50">
        <v>0</v>
      </c>
      <c r="AU125" s="50">
        <v>0</v>
      </c>
      <c r="AV125" s="470"/>
      <c r="AW125" s="50">
        <v>0</v>
      </c>
      <c r="AX125" s="50">
        <v>0</v>
      </c>
      <c r="AY125" s="50">
        <v>0</v>
      </c>
      <c r="AZ125" s="50">
        <v>0</v>
      </c>
      <c r="BA125" s="470"/>
      <c r="BB125" s="50">
        <v>0</v>
      </c>
      <c r="BC125" s="50">
        <v>0</v>
      </c>
      <c r="BD125" s="50">
        <v>0</v>
      </c>
      <c r="BE125" s="50">
        <v>0</v>
      </c>
      <c r="BF125" s="470"/>
      <c r="BG125" s="50">
        <v>71.425000000000182</v>
      </c>
      <c r="BH125" s="50">
        <v>0</v>
      </c>
      <c r="BI125" s="50">
        <v>0</v>
      </c>
      <c r="BJ125" s="50">
        <v>0</v>
      </c>
      <c r="BK125" s="470"/>
      <c r="BL125" s="50">
        <v>0</v>
      </c>
      <c r="BM125" s="50">
        <v>0</v>
      </c>
      <c r="BN125" s="50">
        <v>0</v>
      </c>
      <c r="BO125" s="50">
        <v>0</v>
      </c>
      <c r="BP125" s="470"/>
      <c r="BQ125" s="50">
        <v>112.52500000000055</v>
      </c>
      <c r="BR125" s="50">
        <v>0</v>
      </c>
      <c r="BS125" s="50">
        <v>0</v>
      </c>
      <c r="BT125" s="50">
        <v>0</v>
      </c>
      <c r="BU125" s="470"/>
      <c r="BV125" s="50">
        <v>44.599999999999909</v>
      </c>
      <c r="BW125" s="50">
        <v>0</v>
      </c>
      <c r="BX125" s="50">
        <v>0</v>
      </c>
      <c r="BY125" s="50">
        <v>0</v>
      </c>
      <c r="BZ125" s="470"/>
      <c r="CA125" s="50">
        <v>33.624999999999773</v>
      </c>
      <c r="CB125" s="50">
        <v>0</v>
      </c>
      <c r="CC125" s="50">
        <v>0</v>
      </c>
      <c r="CD125" s="50">
        <v>0</v>
      </c>
      <c r="CE125" s="470"/>
      <c r="CF125" s="50">
        <v>53.049999999999727</v>
      </c>
      <c r="CG125" s="50">
        <v>0</v>
      </c>
      <c r="CH125" s="50">
        <v>0</v>
      </c>
      <c r="CI125" s="50">
        <v>0</v>
      </c>
      <c r="CJ125" s="470"/>
      <c r="CK125" s="50">
        <v>34.125</v>
      </c>
      <c r="CL125" s="50">
        <v>90.75</v>
      </c>
      <c r="CM125" s="50">
        <v>0</v>
      </c>
      <c r="CN125" s="50">
        <v>0</v>
      </c>
      <c r="CO125" s="470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0"/>
      <c r="CU125" s="50">
        <v>126.15000000000009</v>
      </c>
      <c r="CV125" s="50">
        <v>0</v>
      </c>
      <c r="CW125" s="50">
        <v>0</v>
      </c>
      <c r="CX125" s="50">
        <v>0</v>
      </c>
      <c r="CY125" s="470"/>
      <c r="CZ125" s="50">
        <v>37.825000000000273</v>
      </c>
      <c r="DA125" s="50">
        <v>0</v>
      </c>
      <c r="DB125" s="50">
        <v>0</v>
      </c>
      <c r="DC125" s="50">
        <v>0</v>
      </c>
      <c r="DD125" s="470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0"/>
      <c r="DJ125" s="50">
        <v>181.95000000000073</v>
      </c>
      <c r="DK125" s="50">
        <v>0</v>
      </c>
      <c r="DL125" s="50">
        <v>0</v>
      </c>
      <c r="DM125" s="50">
        <v>0</v>
      </c>
      <c r="DN125" s="470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0"/>
      <c r="DT125" s="50">
        <v>157.19999999999936</v>
      </c>
      <c r="DU125" s="50">
        <v>0</v>
      </c>
      <c r="DV125" s="50">
        <v>0</v>
      </c>
      <c r="DW125" s="50">
        <v>0</v>
      </c>
      <c r="DX125" s="470"/>
      <c r="DY125" s="50">
        <v>759.07499999999982</v>
      </c>
      <c r="DZ125" s="50">
        <v>1677.1</v>
      </c>
      <c r="EA125" s="50">
        <v>0</v>
      </c>
      <c r="EB125" s="50">
        <v>0</v>
      </c>
      <c r="EC125" s="470"/>
      <c r="ED125" s="50">
        <v>0</v>
      </c>
      <c r="EE125" s="50">
        <v>0</v>
      </c>
      <c r="EF125" s="50">
        <v>0</v>
      </c>
      <c r="EG125" s="50">
        <v>0</v>
      </c>
      <c r="EH125" s="470"/>
      <c r="EI125" s="50">
        <v>69.950000000000273</v>
      </c>
      <c r="EJ125" s="50">
        <v>0</v>
      </c>
      <c r="EK125" s="50">
        <v>0</v>
      </c>
      <c r="EL125" s="50">
        <v>0</v>
      </c>
      <c r="EM125" s="470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0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0"/>
      <c r="EX125" s="50">
        <v>27.499999999999091</v>
      </c>
      <c r="EY125" s="50">
        <v>0</v>
      </c>
      <c r="EZ125" s="50">
        <v>0</v>
      </c>
      <c r="FA125" s="50">
        <v>0</v>
      </c>
      <c r="FB125" s="470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0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0"/>
      <c r="FM125" s="50">
        <v>84.875000000000909</v>
      </c>
      <c r="FN125" s="50">
        <v>0</v>
      </c>
      <c r="FO125" s="50">
        <v>0</v>
      </c>
      <c r="FP125" s="50">
        <v>0</v>
      </c>
      <c r="FQ125" s="470"/>
      <c r="FR125" s="50">
        <v>82.725000000000364</v>
      </c>
      <c r="FS125" s="50">
        <v>0</v>
      </c>
      <c r="FT125" s="50">
        <v>0</v>
      </c>
      <c r="FU125" s="50">
        <v>0</v>
      </c>
      <c r="FV125" s="470"/>
      <c r="FW125" s="50">
        <v>23.899999999999636</v>
      </c>
      <c r="FX125" s="50">
        <v>0</v>
      </c>
      <c r="FY125" s="50">
        <v>0</v>
      </c>
      <c r="FZ125" s="50">
        <v>0</v>
      </c>
      <c r="GA125" s="470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0"/>
      <c r="GG125" s="50">
        <v>1.1999999999979991</v>
      </c>
      <c r="GH125" s="50">
        <v>0</v>
      </c>
      <c r="GI125" s="50">
        <v>0</v>
      </c>
      <c r="GJ125" s="50">
        <v>0</v>
      </c>
      <c r="GK125" s="470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0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0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2033</v>
      </c>
      <c r="B126" s="46">
        <f t="shared" si="3"/>
        <v>19329.800000000007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0"/>
      <c r="I126" s="50">
        <v>0</v>
      </c>
      <c r="J126" s="50">
        <v>0</v>
      </c>
      <c r="K126" s="50">
        <v>0</v>
      </c>
      <c r="L126" s="50">
        <v>0</v>
      </c>
      <c r="M126" s="470"/>
      <c r="N126" s="50">
        <v>0</v>
      </c>
      <c r="O126" s="50">
        <v>0</v>
      </c>
      <c r="P126" s="50">
        <v>602.62500000000023</v>
      </c>
      <c r="Q126" s="50">
        <v>0</v>
      </c>
      <c r="R126" s="470"/>
      <c r="S126" s="458">
        <v>0</v>
      </c>
      <c r="T126" s="50">
        <v>0</v>
      </c>
      <c r="U126" s="508">
        <v>11.700000000000102</v>
      </c>
      <c r="V126" s="50">
        <v>0</v>
      </c>
      <c r="W126" s="470"/>
      <c r="X126" s="50">
        <v>0</v>
      </c>
      <c r="Y126" s="50">
        <v>0</v>
      </c>
      <c r="Z126" s="50">
        <v>228.90000000000055</v>
      </c>
      <c r="AA126" s="50">
        <v>0</v>
      </c>
      <c r="AB126" s="470"/>
      <c r="AC126" s="50">
        <v>0</v>
      </c>
      <c r="AD126" s="50">
        <v>0</v>
      </c>
      <c r="AE126" s="50">
        <v>475.38749999999959</v>
      </c>
      <c r="AF126" s="50">
        <v>0</v>
      </c>
      <c r="AG126" s="470"/>
      <c r="AH126" s="50">
        <v>0</v>
      </c>
      <c r="AI126" s="50">
        <v>0</v>
      </c>
      <c r="AJ126" s="50">
        <v>847.87499999999966</v>
      </c>
      <c r="AK126" s="50">
        <v>0</v>
      </c>
      <c r="AL126" s="470"/>
      <c r="AM126" s="458">
        <v>0</v>
      </c>
      <c r="AN126" s="458">
        <v>0</v>
      </c>
      <c r="AO126" s="458">
        <v>79.462499999999864</v>
      </c>
      <c r="AP126" s="50">
        <v>0</v>
      </c>
      <c r="AQ126" s="470"/>
      <c r="AR126" s="50">
        <v>0</v>
      </c>
      <c r="AS126" s="50">
        <v>0</v>
      </c>
      <c r="AT126" s="50">
        <v>188.99999999999932</v>
      </c>
      <c r="AU126" s="50">
        <v>0</v>
      </c>
      <c r="AV126" s="470"/>
      <c r="AW126" s="50">
        <v>0</v>
      </c>
      <c r="AX126" s="50">
        <v>0</v>
      </c>
      <c r="AY126" s="50">
        <v>485.62499999999932</v>
      </c>
      <c r="AZ126" s="50">
        <v>0</v>
      </c>
      <c r="BA126" s="470"/>
      <c r="BB126" s="50">
        <v>0</v>
      </c>
      <c r="BC126" s="50">
        <v>0</v>
      </c>
      <c r="BD126" s="50">
        <v>24.299999999999045</v>
      </c>
      <c r="BE126" s="50">
        <v>0</v>
      </c>
      <c r="BF126" s="470"/>
      <c r="BG126" s="50">
        <v>0</v>
      </c>
      <c r="BH126" s="50">
        <v>0</v>
      </c>
      <c r="BI126" s="50">
        <v>0</v>
      </c>
      <c r="BJ126" s="50">
        <v>0</v>
      </c>
      <c r="BK126" s="470"/>
      <c r="BL126" s="50">
        <v>0</v>
      </c>
      <c r="BM126" s="50">
        <v>0</v>
      </c>
      <c r="BN126" s="50">
        <v>115.49999999999932</v>
      </c>
      <c r="BO126" s="50">
        <v>0</v>
      </c>
      <c r="BP126" s="470"/>
      <c r="BQ126" s="50">
        <v>0</v>
      </c>
      <c r="BR126" s="50">
        <v>0</v>
      </c>
      <c r="BS126" s="50">
        <v>100.12499999999932</v>
      </c>
      <c r="BT126" s="50">
        <v>0</v>
      </c>
      <c r="BU126" s="470"/>
      <c r="BV126" s="50">
        <v>0</v>
      </c>
      <c r="BW126" s="50">
        <v>0</v>
      </c>
      <c r="BX126" s="50">
        <v>0</v>
      </c>
      <c r="BY126" s="50">
        <v>1094.3499999999976</v>
      </c>
      <c r="BZ126" s="470"/>
      <c r="CA126" s="50">
        <v>0</v>
      </c>
      <c r="CB126" s="50">
        <v>0</v>
      </c>
      <c r="CC126" s="50">
        <v>0</v>
      </c>
      <c r="CD126" s="50">
        <v>27.899999999999636</v>
      </c>
      <c r="CE126" s="470"/>
      <c r="CF126" s="50">
        <v>0</v>
      </c>
      <c r="CG126" s="50">
        <v>0</v>
      </c>
      <c r="CH126" s="50">
        <v>0</v>
      </c>
      <c r="CI126" s="50">
        <v>37.099999999998545</v>
      </c>
      <c r="CJ126" s="470"/>
      <c r="CK126" s="50">
        <v>0</v>
      </c>
      <c r="CL126" s="50">
        <v>0</v>
      </c>
      <c r="CM126" s="50">
        <v>0</v>
      </c>
      <c r="CN126" s="50">
        <v>323.29999999999836</v>
      </c>
      <c r="CO126" s="470"/>
      <c r="CP126" s="50">
        <v>0</v>
      </c>
      <c r="CQ126" s="50">
        <v>0</v>
      </c>
      <c r="CR126" s="50">
        <v>0</v>
      </c>
      <c r="CS126" s="50">
        <v>344.39999999999873</v>
      </c>
      <c r="CT126" s="470"/>
      <c r="CU126" s="50">
        <v>0</v>
      </c>
      <c r="CV126" s="50">
        <v>0</v>
      </c>
      <c r="CW126" s="50">
        <v>0</v>
      </c>
      <c r="CX126" s="50">
        <v>557.39999999999782</v>
      </c>
      <c r="CY126" s="470"/>
      <c r="CZ126" s="50">
        <v>0</v>
      </c>
      <c r="DA126" s="50">
        <v>0</v>
      </c>
      <c r="DB126" s="50">
        <v>0</v>
      </c>
      <c r="DC126" s="50">
        <v>5.999999999998181</v>
      </c>
      <c r="DD126" s="470"/>
      <c r="DE126" s="50">
        <v>0</v>
      </c>
      <c r="DF126" s="50">
        <v>0</v>
      </c>
      <c r="DG126" s="50">
        <v>0</v>
      </c>
      <c r="DH126" s="50">
        <v>3241.7000000000003</v>
      </c>
      <c r="DI126" s="470"/>
      <c r="DJ126" s="50">
        <v>0</v>
      </c>
      <c r="DK126" s="50">
        <v>0</v>
      </c>
      <c r="DL126" s="50">
        <v>0</v>
      </c>
      <c r="DM126" s="50">
        <v>0</v>
      </c>
      <c r="DN126" s="470"/>
      <c r="DO126" s="50">
        <v>0</v>
      </c>
      <c r="DP126" s="50">
        <v>0</v>
      </c>
      <c r="DQ126" s="50">
        <v>0</v>
      </c>
      <c r="DR126" s="50">
        <v>769.15000000000327</v>
      </c>
      <c r="DS126" s="470"/>
      <c r="DT126" s="50">
        <v>0</v>
      </c>
      <c r="DU126" s="50">
        <v>0</v>
      </c>
      <c r="DV126" s="50">
        <v>0</v>
      </c>
      <c r="DW126" s="50">
        <v>330.90000000000146</v>
      </c>
      <c r="DX126" s="470"/>
      <c r="DY126" s="50">
        <v>0</v>
      </c>
      <c r="DZ126" s="50">
        <v>0</v>
      </c>
      <c r="EA126" s="50">
        <v>0</v>
      </c>
      <c r="EB126" s="50">
        <v>2961.6499999999996</v>
      </c>
      <c r="EC126" s="470"/>
      <c r="ED126" s="50">
        <v>0</v>
      </c>
      <c r="EE126" s="50">
        <v>0</v>
      </c>
      <c r="EF126" s="50">
        <v>0</v>
      </c>
      <c r="EG126" s="50">
        <v>0</v>
      </c>
      <c r="EH126" s="470"/>
      <c r="EI126" s="50">
        <v>0</v>
      </c>
      <c r="EJ126" s="50">
        <v>0</v>
      </c>
      <c r="EK126" s="50">
        <v>0</v>
      </c>
      <c r="EL126" s="50">
        <v>157.50000000000728</v>
      </c>
      <c r="EM126" s="470"/>
      <c r="EN126" s="50">
        <v>0</v>
      </c>
      <c r="EO126" s="50">
        <v>0</v>
      </c>
      <c r="EP126" s="50">
        <v>0</v>
      </c>
      <c r="EQ126" s="50">
        <v>316.10000000000599</v>
      </c>
      <c r="ER126" s="470"/>
      <c r="ES126" s="50">
        <v>0</v>
      </c>
      <c r="ET126" s="50">
        <v>0</v>
      </c>
      <c r="EU126" s="50">
        <v>0</v>
      </c>
      <c r="EV126" s="50">
        <v>0</v>
      </c>
      <c r="EW126" s="470"/>
      <c r="EX126" s="50">
        <v>0</v>
      </c>
      <c r="EY126" s="50">
        <v>0</v>
      </c>
      <c r="EZ126" s="50">
        <v>0</v>
      </c>
      <c r="FA126" s="50">
        <v>55.200000000004366</v>
      </c>
      <c r="FB126" s="470"/>
      <c r="FC126" s="50">
        <v>0</v>
      </c>
      <c r="FD126" s="50">
        <v>0</v>
      </c>
      <c r="FE126" s="50">
        <v>0</v>
      </c>
      <c r="FF126" s="50">
        <v>4371.3500000000004</v>
      </c>
      <c r="FG126" s="470"/>
      <c r="FH126" s="50">
        <v>0</v>
      </c>
      <c r="FI126" s="50">
        <v>0</v>
      </c>
      <c r="FJ126" s="50">
        <v>0</v>
      </c>
      <c r="FK126" s="50">
        <v>15.400000000005093</v>
      </c>
      <c r="FL126" s="470"/>
      <c r="FM126" s="50">
        <v>0</v>
      </c>
      <c r="FN126" s="50">
        <v>0</v>
      </c>
      <c r="FO126" s="50">
        <v>0</v>
      </c>
      <c r="FP126" s="50">
        <v>43.099999999998545</v>
      </c>
      <c r="FQ126" s="470"/>
      <c r="FR126" s="50">
        <v>0</v>
      </c>
      <c r="FS126" s="50">
        <v>0</v>
      </c>
      <c r="FT126" s="50">
        <v>0</v>
      </c>
      <c r="FU126" s="50">
        <v>217.09999999999854</v>
      </c>
      <c r="FV126" s="470"/>
      <c r="FW126" s="50">
        <v>0</v>
      </c>
      <c r="FX126" s="50">
        <v>0</v>
      </c>
      <c r="FY126" s="50">
        <v>0</v>
      </c>
      <c r="FZ126" s="50">
        <v>0</v>
      </c>
      <c r="GA126" s="470"/>
      <c r="GB126" s="50">
        <v>0</v>
      </c>
      <c r="GC126" s="50">
        <v>0</v>
      </c>
      <c r="GD126" s="50">
        <v>0</v>
      </c>
      <c r="GE126" s="50">
        <v>467.59999999999854</v>
      </c>
      <c r="GF126" s="470"/>
      <c r="GG126" s="50">
        <v>0</v>
      </c>
      <c r="GH126" s="50">
        <v>0</v>
      </c>
      <c r="GI126" s="50">
        <v>0</v>
      </c>
      <c r="GJ126" s="50">
        <v>0</v>
      </c>
      <c r="GK126" s="470"/>
      <c r="GL126" s="50">
        <v>0</v>
      </c>
      <c r="GM126" s="50">
        <v>0</v>
      </c>
      <c r="GN126" s="50">
        <v>0</v>
      </c>
      <c r="GO126" s="50">
        <v>541.09999999999854</v>
      </c>
      <c r="GP126" s="470"/>
      <c r="GQ126" s="50">
        <v>0</v>
      </c>
      <c r="GR126" s="50">
        <v>0</v>
      </c>
      <c r="GS126" s="50">
        <v>0</v>
      </c>
      <c r="GT126" s="50">
        <v>291</v>
      </c>
      <c r="GU126" s="470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5579.4250000000229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0"/>
      <c r="I127" s="50">
        <v>43.124999999999986</v>
      </c>
      <c r="J127" s="50">
        <v>0</v>
      </c>
      <c r="K127" s="50">
        <v>0</v>
      </c>
      <c r="L127" s="50">
        <v>0</v>
      </c>
      <c r="M127" s="470"/>
      <c r="N127" s="50">
        <v>43.5</v>
      </c>
      <c r="O127" s="50">
        <v>0</v>
      </c>
      <c r="P127" s="50">
        <v>0</v>
      </c>
      <c r="Q127" s="50">
        <v>0</v>
      </c>
      <c r="R127" s="470"/>
      <c r="S127" s="458">
        <v>54.224999999999966</v>
      </c>
      <c r="T127" s="50">
        <v>0</v>
      </c>
      <c r="U127" s="508">
        <v>0</v>
      </c>
      <c r="V127" s="50">
        <v>0</v>
      </c>
      <c r="W127" s="470"/>
      <c r="X127" s="50">
        <v>58.75</v>
      </c>
      <c r="Y127" s="50">
        <v>0</v>
      </c>
      <c r="Z127" s="50">
        <v>0</v>
      </c>
      <c r="AA127" s="50">
        <v>0</v>
      </c>
      <c r="AB127" s="470"/>
      <c r="AC127" s="50">
        <v>80.774999999999977</v>
      </c>
      <c r="AD127" s="50">
        <v>0</v>
      </c>
      <c r="AE127" s="50">
        <v>0</v>
      </c>
      <c r="AF127" s="50">
        <v>0</v>
      </c>
      <c r="AG127" s="470"/>
      <c r="AH127" s="50">
        <v>115.40000000000055</v>
      </c>
      <c r="AI127" s="50">
        <v>0</v>
      </c>
      <c r="AJ127" s="50">
        <v>0</v>
      </c>
      <c r="AK127" s="50">
        <v>0</v>
      </c>
      <c r="AL127" s="470"/>
      <c r="AM127" s="458">
        <v>121.34999999999991</v>
      </c>
      <c r="AN127" s="458">
        <v>0</v>
      </c>
      <c r="AO127" s="458">
        <v>0</v>
      </c>
      <c r="AP127" s="50">
        <v>0</v>
      </c>
      <c r="AQ127" s="470"/>
      <c r="AR127" s="50">
        <v>63.025000000000546</v>
      </c>
      <c r="AS127" s="50">
        <v>0</v>
      </c>
      <c r="AT127" s="50">
        <v>0</v>
      </c>
      <c r="AU127" s="50">
        <v>0</v>
      </c>
      <c r="AV127" s="470"/>
      <c r="AW127" s="50">
        <v>0</v>
      </c>
      <c r="AX127" s="50">
        <v>0</v>
      </c>
      <c r="AY127" s="50">
        <v>0</v>
      </c>
      <c r="AZ127" s="50">
        <v>0</v>
      </c>
      <c r="BA127" s="470"/>
      <c r="BB127" s="50">
        <v>0</v>
      </c>
      <c r="BC127" s="50">
        <v>0</v>
      </c>
      <c r="BD127" s="50">
        <v>0</v>
      </c>
      <c r="BE127" s="50">
        <v>0</v>
      </c>
      <c r="BF127" s="470"/>
      <c r="BG127" s="50">
        <v>66.400000000000546</v>
      </c>
      <c r="BH127" s="50">
        <v>0</v>
      </c>
      <c r="BI127" s="50">
        <v>0</v>
      </c>
      <c r="BJ127" s="50">
        <v>0</v>
      </c>
      <c r="BK127" s="470"/>
      <c r="BL127" s="50">
        <v>0</v>
      </c>
      <c r="BM127" s="50">
        <v>0</v>
      </c>
      <c r="BN127" s="50">
        <v>0</v>
      </c>
      <c r="BO127" s="50">
        <v>0</v>
      </c>
      <c r="BP127" s="470"/>
      <c r="BQ127" s="50">
        <v>104.35000000000036</v>
      </c>
      <c r="BR127" s="50">
        <v>0</v>
      </c>
      <c r="BS127" s="50">
        <v>0</v>
      </c>
      <c r="BT127" s="50">
        <v>0</v>
      </c>
      <c r="BU127" s="470"/>
      <c r="BV127" s="50">
        <v>0</v>
      </c>
      <c r="BW127" s="50">
        <v>0</v>
      </c>
      <c r="BX127" s="50">
        <v>0</v>
      </c>
      <c r="BY127" s="50">
        <v>0</v>
      </c>
      <c r="BZ127" s="470"/>
      <c r="CA127" s="50">
        <v>0</v>
      </c>
      <c r="CB127" s="50">
        <v>0</v>
      </c>
      <c r="CC127" s="50">
        <v>0</v>
      </c>
      <c r="CD127" s="50">
        <v>0</v>
      </c>
      <c r="CE127" s="470"/>
      <c r="CF127" s="50">
        <v>0</v>
      </c>
      <c r="CG127" s="50">
        <v>0</v>
      </c>
      <c r="CH127" s="50">
        <v>0</v>
      </c>
      <c r="CI127" s="50">
        <v>0</v>
      </c>
      <c r="CJ127" s="470"/>
      <c r="CK127" s="50">
        <v>0</v>
      </c>
      <c r="CL127" s="50">
        <v>64.800000000001091</v>
      </c>
      <c r="CM127" s="50">
        <v>0</v>
      </c>
      <c r="CN127" s="50">
        <v>0</v>
      </c>
      <c r="CO127" s="470"/>
      <c r="CP127" s="50">
        <v>0</v>
      </c>
      <c r="CQ127" s="50">
        <v>226.40000000000055</v>
      </c>
      <c r="CR127" s="50">
        <v>0</v>
      </c>
      <c r="CS127" s="50">
        <v>0</v>
      </c>
      <c r="CT127" s="470"/>
      <c r="CU127" s="50">
        <v>0</v>
      </c>
      <c r="CV127" s="50">
        <v>0</v>
      </c>
      <c r="CW127" s="50">
        <v>0</v>
      </c>
      <c r="CX127" s="50">
        <v>0</v>
      </c>
      <c r="CY127" s="470"/>
      <c r="CZ127" s="50">
        <v>0</v>
      </c>
      <c r="DA127" s="50">
        <v>0</v>
      </c>
      <c r="DB127" s="50">
        <v>0</v>
      </c>
      <c r="DC127" s="50">
        <v>0</v>
      </c>
      <c r="DD127" s="470"/>
      <c r="DE127" s="50">
        <v>0</v>
      </c>
      <c r="DF127" s="50">
        <v>723.50000000000091</v>
      </c>
      <c r="DG127" s="50">
        <v>0</v>
      </c>
      <c r="DH127" s="50">
        <v>0</v>
      </c>
      <c r="DI127" s="470"/>
      <c r="DJ127" s="50">
        <v>0</v>
      </c>
      <c r="DK127" s="50">
        <v>0</v>
      </c>
      <c r="DL127" s="50">
        <v>0</v>
      </c>
      <c r="DM127" s="50">
        <v>0</v>
      </c>
      <c r="DN127" s="470"/>
      <c r="DO127" s="50">
        <v>0</v>
      </c>
      <c r="DP127" s="50">
        <v>322.35000000000082</v>
      </c>
      <c r="DQ127" s="50">
        <v>0</v>
      </c>
      <c r="DR127" s="50">
        <v>0</v>
      </c>
      <c r="DS127" s="470"/>
      <c r="DT127" s="50">
        <v>0</v>
      </c>
      <c r="DU127" s="50">
        <v>0</v>
      </c>
      <c r="DV127" s="50">
        <v>0</v>
      </c>
      <c r="DW127" s="50">
        <v>0</v>
      </c>
      <c r="DX127" s="470"/>
      <c r="DY127" s="50">
        <v>0</v>
      </c>
      <c r="DZ127" s="50">
        <v>1485.4000000000005</v>
      </c>
      <c r="EA127" s="50">
        <v>0</v>
      </c>
      <c r="EB127" s="50">
        <v>0</v>
      </c>
      <c r="EC127" s="470"/>
      <c r="ED127" s="50">
        <v>0</v>
      </c>
      <c r="EE127" s="50">
        <v>0</v>
      </c>
      <c r="EF127" s="50">
        <v>0</v>
      </c>
      <c r="EG127" s="50">
        <v>0</v>
      </c>
      <c r="EH127" s="470"/>
      <c r="EI127" s="50">
        <v>0</v>
      </c>
      <c r="EJ127" s="50">
        <v>0</v>
      </c>
      <c r="EK127" s="50">
        <v>0</v>
      </c>
      <c r="EL127" s="50">
        <v>0</v>
      </c>
      <c r="EM127" s="470"/>
      <c r="EN127" s="50">
        <v>0</v>
      </c>
      <c r="EO127" s="50">
        <v>192.74999999999977</v>
      </c>
      <c r="EP127" s="50">
        <v>0</v>
      </c>
      <c r="EQ127" s="50">
        <v>0</v>
      </c>
      <c r="ER127" s="470"/>
      <c r="ES127" s="50">
        <v>0</v>
      </c>
      <c r="ET127" s="50">
        <v>119.50000000000091</v>
      </c>
      <c r="EU127" s="50">
        <v>0</v>
      </c>
      <c r="EV127" s="50">
        <v>0</v>
      </c>
      <c r="EW127" s="470"/>
      <c r="EX127" s="50">
        <v>0</v>
      </c>
      <c r="EY127" s="50">
        <v>0</v>
      </c>
      <c r="EZ127" s="50">
        <v>0</v>
      </c>
      <c r="FA127" s="50">
        <v>0</v>
      </c>
      <c r="FB127" s="470"/>
      <c r="FC127" s="50">
        <v>0</v>
      </c>
      <c r="FD127" s="50">
        <v>792.20000000001164</v>
      </c>
      <c r="FE127" s="50">
        <v>0</v>
      </c>
      <c r="FF127" s="50">
        <v>0</v>
      </c>
      <c r="FG127" s="470"/>
      <c r="FH127" s="50">
        <v>0</v>
      </c>
      <c r="FI127" s="50">
        <v>0.75000000000045475</v>
      </c>
      <c r="FJ127" s="50">
        <v>0</v>
      </c>
      <c r="FK127" s="50">
        <v>0</v>
      </c>
      <c r="FL127" s="470"/>
      <c r="FM127" s="50">
        <v>0</v>
      </c>
      <c r="FN127" s="50">
        <v>0</v>
      </c>
      <c r="FO127" s="50">
        <v>0</v>
      </c>
      <c r="FP127" s="50">
        <v>0</v>
      </c>
      <c r="FQ127" s="470"/>
      <c r="FR127" s="50">
        <v>0</v>
      </c>
      <c r="FS127" s="50">
        <v>0</v>
      </c>
      <c r="FT127" s="50">
        <v>0</v>
      </c>
      <c r="FU127" s="50">
        <v>0</v>
      </c>
      <c r="FV127" s="470"/>
      <c r="FW127" s="50">
        <v>0</v>
      </c>
      <c r="FX127" s="50">
        <v>0</v>
      </c>
      <c r="FY127" s="50">
        <v>0</v>
      </c>
      <c r="FZ127" s="50">
        <v>0</v>
      </c>
      <c r="GA127" s="470"/>
      <c r="GB127" s="50">
        <v>0</v>
      </c>
      <c r="GC127" s="50">
        <v>196.75000000000045</v>
      </c>
      <c r="GD127" s="50">
        <v>0</v>
      </c>
      <c r="GE127" s="50">
        <v>0</v>
      </c>
      <c r="GF127" s="470"/>
      <c r="GG127" s="50">
        <v>0</v>
      </c>
      <c r="GH127" s="50">
        <v>0</v>
      </c>
      <c r="GI127" s="50">
        <v>0</v>
      </c>
      <c r="GJ127" s="50">
        <v>0</v>
      </c>
      <c r="GK127" s="470"/>
      <c r="GL127" s="50">
        <v>0</v>
      </c>
      <c r="GM127" s="50">
        <v>479.50000000000182</v>
      </c>
      <c r="GN127" s="50">
        <v>0</v>
      </c>
      <c r="GO127" s="50">
        <v>0</v>
      </c>
      <c r="GP127" s="470"/>
      <c r="GQ127" s="50">
        <v>0</v>
      </c>
      <c r="GR127" s="50">
        <v>170.75000000000182</v>
      </c>
      <c r="GS127" s="50">
        <v>0</v>
      </c>
      <c r="GT127" s="50">
        <v>0</v>
      </c>
      <c r="GU127" s="470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9000.9375000000073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0"/>
      <c r="I128" s="50">
        <v>104.125</v>
      </c>
      <c r="J128" s="50">
        <v>0</v>
      </c>
      <c r="K128" s="50">
        <v>0</v>
      </c>
      <c r="L128" s="50">
        <v>0</v>
      </c>
      <c r="M128" s="470"/>
      <c r="N128" s="50">
        <v>137.35000000000014</v>
      </c>
      <c r="O128" s="50">
        <v>0</v>
      </c>
      <c r="P128" s="50">
        <v>0</v>
      </c>
      <c r="Q128" s="50">
        <v>0</v>
      </c>
      <c r="R128" s="470"/>
      <c r="S128" s="458">
        <v>60.550000000000068</v>
      </c>
      <c r="T128" s="50">
        <v>0</v>
      </c>
      <c r="U128" s="508">
        <v>0</v>
      </c>
      <c r="V128" s="50">
        <v>0</v>
      </c>
      <c r="W128" s="470"/>
      <c r="X128" s="50">
        <v>66.024999999999977</v>
      </c>
      <c r="Y128" s="50">
        <v>0</v>
      </c>
      <c r="Z128" s="50">
        <v>0</v>
      </c>
      <c r="AA128" s="50">
        <v>0</v>
      </c>
      <c r="AB128" s="470"/>
      <c r="AC128" s="50">
        <v>68.499999999999886</v>
      </c>
      <c r="AD128" s="50">
        <v>0</v>
      </c>
      <c r="AE128" s="50">
        <v>0</v>
      </c>
      <c r="AF128" s="50">
        <v>0</v>
      </c>
      <c r="AG128" s="470"/>
      <c r="AH128" s="50">
        <v>119.6874999999993</v>
      </c>
      <c r="AI128" s="50">
        <v>0</v>
      </c>
      <c r="AJ128" s="50">
        <v>0</v>
      </c>
      <c r="AK128" s="50">
        <v>0</v>
      </c>
      <c r="AL128" s="470"/>
      <c r="AM128" s="458">
        <v>88.324999999999932</v>
      </c>
      <c r="AN128" s="458">
        <v>0</v>
      </c>
      <c r="AO128" s="458">
        <v>0</v>
      </c>
      <c r="AP128" s="50">
        <v>0</v>
      </c>
      <c r="AQ128" s="470"/>
      <c r="AR128" s="50">
        <v>45</v>
      </c>
      <c r="AS128" s="50">
        <v>0</v>
      </c>
      <c r="AT128" s="50">
        <v>0</v>
      </c>
      <c r="AU128" s="50">
        <v>0</v>
      </c>
      <c r="AV128" s="470"/>
      <c r="AW128" s="50">
        <v>0</v>
      </c>
      <c r="AX128" s="50">
        <v>0</v>
      </c>
      <c r="AY128" s="50">
        <v>0</v>
      </c>
      <c r="AZ128" s="50">
        <v>0</v>
      </c>
      <c r="BA128" s="470"/>
      <c r="BB128" s="50">
        <v>0</v>
      </c>
      <c r="BC128" s="50">
        <v>0</v>
      </c>
      <c r="BD128" s="50">
        <v>0</v>
      </c>
      <c r="BE128" s="50">
        <v>0</v>
      </c>
      <c r="BF128" s="470"/>
      <c r="BG128" s="50">
        <v>105.57500000000027</v>
      </c>
      <c r="BH128" s="50">
        <v>0</v>
      </c>
      <c r="BI128" s="50">
        <v>0</v>
      </c>
      <c r="BJ128" s="50">
        <v>0</v>
      </c>
      <c r="BK128" s="470"/>
      <c r="BL128" s="50">
        <v>0</v>
      </c>
      <c r="BM128" s="50">
        <v>0</v>
      </c>
      <c r="BN128" s="50">
        <v>0</v>
      </c>
      <c r="BO128" s="50">
        <v>0</v>
      </c>
      <c r="BP128" s="470"/>
      <c r="BQ128" s="50">
        <v>122.25</v>
      </c>
      <c r="BR128" s="50">
        <v>0</v>
      </c>
      <c r="BS128" s="50">
        <v>0</v>
      </c>
      <c r="BT128" s="50">
        <v>0</v>
      </c>
      <c r="BU128" s="470"/>
      <c r="BV128" s="50">
        <v>104.75</v>
      </c>
      <c r="BW128" s="50">
        <v>0</v>
      </c>
      <c r="BX128" s="50">
        <v>0</v>
      </c>
      <c r="BY128" s="50">
        <v>0</v>
      </c>
      <c r="BZ128" s="470"/>
      <c r="CA128" s="50">
        <v>40.625</v>
      </c>
      <c r="CB128" s="50">
        <v>0</v>
      </c>
      <c r="CC128" s="50">
        <v>0</v>
      </c>
      <c r="CD128" s="50">
        <v>0</v>
      </c>
      <c r="CE128" s="470"/>
      <c r="CF128" s="50">
        <v>30.375</v>
      </c>
      <c r="CG128" s="50">
        <v>0</v>
      </c>
      <c r="CH128" s="50">
        <v>0</v>
      </c>
      <c r="CI128" s="50">
        <v>0</v>
      </c>
      <c r="CJ128" s="470"/>
      <c r="CK128" s="50">
        <v>56.075000000000045</v>
      </c>
      <c r="CL128" s="50">
        <v>105</v>
      </c>
      <c r="CM128" s="50">
        <v>0</v>
      </c>
      <c r="CN128" s="50">
        <v>0</v>
      </c>
      <c r="CO128" s="470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0"/>
      <c r="CU128" s="50">
        <v>51.975000000000136</v>
      </c>
      <c r="CV128" s="50">
        <v>0</v>
      </c>
      <c r="CW128" s="50">
        <v>0</v>
      </c>
      <c r="CX128" s="50">
        <v>0</v>
      </c>
      <c r="CY128" s="470"/>
      <c r="CZ128" s="50">
        <v>28.250000000000227</v>
      </c>
      <c r="DA128" s="50">
        <v>0</v>
      </c>
      <c r="DB128" s="50">
        <v>0</v>
      </c>
      <c r="DC128" s="50">
        <v>0</v>
      </c>
      <c r="DD128" s="470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0"/>
      <c r="DJ128" s="50">
        <v>20.250000000000227</v>
      </c>
      <c r="DK128" s="50">
        <v>0</v>
      </c>
      <c r="DL128" s="50">
        <v>0</v>
      </c>
      <c r="DM128" s="50">
        <v>0</v>
      </c>
      <c r="DN128" s="470"/>
      <c r="DO128" s="50">
        <v>121.24999999999909</v>
      </c>
      <c r="DP128" s="50">
        <v>208.25</v>
      </c>
      <c r="DQ128" s="50">
        <v>0</v>
      </c>
      <c r="DR128" s="50">
        <v>0</v>
      </c>
      <c r="DS128" s="470"/>
      <c r="DT128" s="50">
        <v>45.424999999998818</v>
      </c>
      <c r="DU128" s="50">
        <v>0</v>
      </c>
      <c r="DV128" s="50">
        <v>0</v>
      </c>
      <c r="DW128" s="50">
        <v>0</v>
      </c>
      <c r="DX128" s="470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0"/>
      <c r="ED128" s="50">
        <v>13.750000000000909</v>
      </c>
      <c r="EE128" s="50">
        <v>0</v>
      </c>
      <c r="EF128" s="50">
        <v>0</v>
      </c>
      <c r="EG128" s="50">
        <v>0</v>
      </c>
      <c r="EH128" s="470"/>
      <c r="EI128" s="50">
        <v>54.000000000000909</v>
      </c>
      <c r="EJ128" s="50">
        <v>0</v>
      </c>
      <c r="EK128" s="50">
        <v>0</v>
      </c>
      <c r="EL128" s="50">
        <v>0</v>
      </c>
      <c r="EM128" s="470"/>
      <c r="EN128" s="50">
        <v>27.800000000001091</v>
      </c>
      <c r="EO128" s="50">
        <v>109.25</v>
      </c>
      <c r="EP128" s="50">
        <v>0</v>
      </c>
      <c r="EQ128" s="50">
        <v>0</v>
      </c>
      <c r="ER128" s="470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0"/>
      <c r="EX128" s="50">
        <v>66.875000000000455</v>
      </c>
      <c r="EY128" s="50">
        <v>0</v>
      </c>
      <c r="EZ128" s="50">
        <v>0</v>
      </c>
      <c r="FA128" s="50">
        <v>0</v>
      </c>
      <c r="FB128" s="470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0"/>
      <c r="FH128" s="50">
        <v>18.300000000000637</v>
      </c>
      <c r="FI128" s="50">
        <v>0</v>
      </c>
      <c r="FJ128" s="50">
        <v>0</v>
      </c>
      <c r="FK128" s="50">
        <v>0</v>
      </c>
      <c r="FL128" s="470"/>
      <c r="FM128" s="50">
        <v>49.875000000000909</v>
      </c>
      <c r="FN128" s="50">
        <v>0</v>
      </c>
      <c r="FO128" s="50">
        <v>0</v>
      </c>
      <c r="FP128" s="50">
        <v>0</v>
      </c>
      <c r="FQ128" s="470"/>
      <c r="FR128" s="50">
        <v>31.400000000001455</v>
      </c>
      <c r="FS128" s="50">
        <v>0</v>
      </c>
      <c r="FT128" s="50">
        <v>0</v>
      </c>
      <c r="FU128" s="50">
        <v>0</v>
      </c>
      <c r="FV128" s="470"/>
      <c r="FW128" s="50">
        <v>29.099999999999909</v>
      </c>
      <c r="FX128" s="50">
        <v>0</v>
      </c>
      <c r="FY128" s="50">
        <v>0</v>
      </c>
      <c r="FZ128" s="50">
        <v>0</v>
      </c>
      <c r="GA128" s="470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0"/>
      <c r="GG128" s="50">
        <v>87.100000000000364</v>
      </c>
      <c r="GH128" s="50">
        <v>0</v>
      </c>
      <c r="GI128" s="50">
        <v>0</v>
      </c>
      <c r="GJ128" s="50">
        <v>0</v>
      </c>
      <c r="GK128" s="470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0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0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44911.825000000172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0"/>
      <c r="I129" s="50">
        <v>73.699999999999932</v>
      </c>
      <c r="J129" s="50">
        <v>0</v>
      </c>
      <c r="K129" s="50">
        <v>0</v>
      </c>
      <c r="L129" s="50">
        <v>0</v>
      </c>
      <c r="M129" s="470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0"/>
      <c r="S129" s="458">
        <v>0</v>
      </c>
      <c r="T129" s="50">
        <v>37.349999999999909</v>
      </c>
      <c r="U129" s="508">
        <v>168.30000000000024</v>
      </c>
      <c r="V129" s="50">
        <v>0</v>
      </c>
      <c r="W129" s="470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0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0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0"/>
      <c r="AM129" s="458">
        <v>78.224999999999909</v>
      </c>
      <c r="AN129" s="458">
        <v>125.30000000000041</v>
      </c>
      <c r="AO129" s="458">
        <v>233.5875000000002</v>
      </c>
      <c r="AP129" s="50">
        <v>0</v>
      </c>
      <c r="AQ129" s="470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70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70"/>
      <c r="BB129" s="50">
        <v>0</v>
      </c>
      <c r="BC129" s="50">
        <v>75.299999999999727</v>
      </c>
      <c r="BD129" s="50">
        <v>148.5</v>
      </c>
      <c r="BE129" s="50">
        <v>0</v>
      </c>
      <c r="BF129" s="470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70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70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70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0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0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0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0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0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0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0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0"/>
      <c r="DJ129" s="50">
        <v>110.97499999999945</v>
      </c>
      <c r="DK129" s="50">
        <v>0</v>
      </c>
      <c r="DL129" s="50">
        <v>0</v>
      </c>
      <c r="DM129" s="50">
        <v>0</v>
      </c>
      <c r="DN129" s="470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0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0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0"/>
      <c r="ED129" s="50">
        <v>43.125000000000909</v>
      </c>
      <c r="EE129" s="50">
        <v>0</v>
      </c>
      <c r="EF129" s="50">
        <v>0</v>
      </c>
      <c r="EG129" s="50">
        <v>0</v>
      </c>
      <c r="EH129" s="470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0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0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0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0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0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0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0"/>
      <c r="FR129" s="50">
        <v>63.124999999998181</v>
      </c>
      <c r="FS129" s="50">
        <v>0</v>
      </c>
      <c r="FT129" s="50">
        <v>0</v>
      </c>
      <c r="FU129" s="50">
        <v>427.5</v>
      </c>
      <c r="FV129" s="470"/>
      <c r="FW129" s="50">
        <v>23.600000000000136</v>
      </c>
      <c r="FX129" s="50">
        <v>0</v>
      </c>
      <c r="FY129" s="50">
        <v>0</v>
      </c>
      <c r="FZ129" s="50">
        <v>0</v>
      </c>
      <c r="GA129" s="470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0"/>
      <c r="GG129" s="50">
        <v>100.52499999999964</v>
      </c>
      <c r="GH129" s="50">
        <v>0</v>
      </c>
      <c r="GI129" s="50">
        <v>0</v>
      </c>
      <c r="GJ129" s="50">
        <v>0</v>
      </c>
      <c r="GK129" s="470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0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0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39598.950000000048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0"/>
      <c r="I130" s="50">
        <v>36.000000000000007</v>
      </c>
      <c r="J130" s="50">
        <v>0</v>
      </c>
      <c r="K130" s="50">
        <v>0</v>
      </c>
      <c r="L130" s="50">
        <v>0</v>
      </c>
      <c r="M130" s="470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0"/>
      <c r="S130" s="458">
        <v>62.249999999999943</v>
      </c>
      <c r="T130" s="50">
        <v>74.449999999999932</v>
      </c>
      <c r="U130" s="508">
        <v>119.55000000000024</v>
      </c>
      <c r="V130" s="50">
        <v>0</v>
      </c>
      <c r="W130" s="470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0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0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0"/>
      <c r="AM130" s="458">
        <v>147.27499999999998</v>
      </c>
      <c r="AN130" s="458">
        <v>336.54999999999995</v>
      </c>
      <c r="AO130" s="458">
        <v>260.96250000000055</v>
      </c>
      <c r="AP130" s="50">
        <v>0</v>
      </c>
      <c r="AQ130" s="470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70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70"/>
      <c r="BB130" s="50">
        <v>0</v>
      </c>
      <c r="BC130" s="50">
        <v>117.5</v>
      </c>
      <c r="BD130" s="50">
        <v>274.27499999999952</v>
      </c>
      <c r="BE130" s="50">
        <v>0</v>
      </c>
      <c r="BF130" s="470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70"/>
      <c r="BL130" s="50">
        <v>0</v>
      </c>
      <c r="BM130" s="50">
        <v>131.75</v>
      </c>
      <c r="BN130" s="50">
        <v>132.48749999999973</v>
      </c>
      <c r="BO130" s="50">
        <v>0</v>
      </c>
      <c r="BP130" s="470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70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0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0"/>
      <c r="CF130" s="50">
        <v>54.700000000000273</v>
      </c>
      <c r="CG130" s="50">
        <v>0</v>
      </c>
      <c r="CH130" s="50">
        <v>265.5</v>
      </c>
      <c r="CI130" s="50">
        <v>174</v>
      </c>
      <c r="CJ130" s="470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0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0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0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0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0"/>
      <c r="DJ130" s="50">
        <v>62.287500000000136</v>
      </c>
      <c r="DK130" s="50">
        <v>0</v>
      </c>
      <c r="DL130" s="50">
        <v>0</v>
      </c>
      <c r="DM130" s="50">
        <v>0</v>
      </c>
      <c r="DN130" s="470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0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0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0"/>
      <c r="ED130" s="50">
        <v>36.000000000000909</v>
      </c>
      <c r="EE130" s="50">
        <v>0</v>
      </c>
      <c r="EF130" s="50">
        <v>0</v>
      </c>
      <c r="EG130" s="50">
        <v>0</v>
      </c>
      <c r="EH130" s="470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0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0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0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0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0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0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0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0"/>
      <c r="FW130" s="50">
        <v>11.375000000000227</v>
      </c>
      <c r="FX130" s="50">
        <v>0</v>
      </c>
      <c r="FY130" s="50">
        <v>0</v>
      </c>
      <c r="FZ130" s="50">
        <v>0</v>
      </c>
      <c r="GA130" s="470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0"/>
      <c r="GG130" s="50">
        <v>50.700000000000728</v>
      </c>
      <c r="GH130" s="50">
        <v>0</v>
      </c>
      <c r="GI130" s="50">
        <v>0</v>
      </c>
      <c r="GJ130" s="50">
        <v>0</v>
      </c>
      <c r="GK130" s="470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0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0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5905.2499999999627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0"/>
      <c r="I131" s="50">
        <v>46.3</v>
      </c>
      <c r="J131" s="50">
        <v>0</v>
      </c>
      <c r="K131" s="50">
        <v>0</v>
      </c>
      <c r="L131" s="50">
        <v>0</v>
      </c>
      <c r="M131" s="470"/>
      <c r="N131" s="50">
        <v>101.87500000000006</v>
      </c>
      <c r="O131" s="50">
        <v>0</v>
      </c>
      <c r="P131" s="50">
        <v>0</v>
      </c>
      <c r="Q131" s="50">
        <v>0</v>
      </c>
      <c r="R131" s="470"/>
      <c r="S131" s="458">
        <v>60.10000000000008</v>
      </c>
      <c r="T131" s="50">
        <v>0</v>
      </c>
      <c r="U131" s="508">
        <v>0</v>
      </c>
      <c r="V131" s="50">
        <v>0</v>
      </c>
      <c r="W131" s="470"/>
      <c r="X131" s="50">
        <v>92.750000000000114</v>
      </c>
      <c r="Y131" s="50">
        <v>0</v>
      </c>
      <c r="Z131" s="50">
        <v>0</v>
      </c>
      <c r="AA131" s="50">
        <v>0</v>
      </c>
      <c r="AB131" s="470"/>
      <c r="AC131" s="50">
        <v>124.57500000000016</v>
      </c>
      <c r="AD131" s="50">
        <v>0</v>
      </c>
      <c r="AE131" s="50">
        <v>0</v>
      </c>
      <c r="AF131" s="50">
        <v>0</v>
      </c>
      <c r="AG131" s="470"/>
      <c r="AH131" s="50">
        <v>143.77500000000009</v>
      </c>
      <c r="AI131" s="50">
        <v>0</v>
      </c>
      <c r="AJ131" s="50">
        <v>0</v>
      </c>
      <c r="AK131" s="50">
        <v>0</v>
      </c>
      <c r="AL131" s="470"/>
      <c r="AM131" s="458">
        <v>15.275000000000091</v>
      </c>
      <c r="AN131" s="458">
        <v>0</v>
      </c>
      <c r="AO131" s="458">
        <v>0</v>
      </c>
      <c r="AP131" s="50">
        <v>0</v>
      </c>
      <c r="AQ131" s="470"/>
      <c r="AR131" s="50">
        <v>39.625</v>
      </c>
      <c r="AS131" s="50">
        <v>0</v>
      </c>
      <c r="AT131" s="50">
        <v>0</v>
      </c>
      <c r="AU131" s="50">
        <v>0</v>
      </c>
      <c r="AV131" s="470"/>
      <c r="AW131" s="50">
        <v>0</v>
      </c>
      <c r="AX131" s="50">
        <v>0</v>
      </c>
      <c r="AY131" s="50">
        <v>0</v>
      </c>
      <c r="AZ131" s="50">
        <v>0</v>
      </c>
      <c r="BA131" s="470"/>
      <c r="BB131" s="50">
        <v>0</v>
      </c>
      <c r="BC131" s="50">
        <v>0</v>
      </c>
      <c r="BD131" s="50">
        <v>0</v>
      </c>
      <c r="BE131" s="50">
        <v>0</v>
      </c>
      <c r="BF131" s="470"/>
      <c r="BG131" s="50">
        <v>42.600000000000364</v>
      </c>
      <c r="BH131" s="50">
        <v>0</v>
      </c>
      <c r="BI131" s="50">
        <v>0</v>
      </c>
      <c r="BJ131" s="50">
        <v>0</v>
      </c>
      <c r="BK131" s="470"/>
      <c r="BL131" s="50">
        <v>0</v>
      </c>
      <c r="BM131" s="50">
        <v>0</v>
      </c>
      <c r="BN131" s="50">
        <v>0</v>
      </c>
      <c r="BO131" s="50">
        <v>0</v>
      </c>
      <c r="BP131" s="470"/>
      <c r="BQ131" s="50">
        <v>39.849999999999909</v>
      </c>
      <c r="BR131" s="50">
        <v>0</v>
      </c>
      <c r="BS131" s="50">
        <v>0</v>
      </c>
      <c r="BT131" s="50">
        <v>0</v>
      </c>
      <c r="BU131" s="470"/>
      <c r="BV131" s="50">
        <v>0</v>
      </c>
      <c r="BW131" s="50">
        <v>0</v>
      </c>
      <c r="BX131" s="50">
        <v>0</v>
      </c>
      <c r="BY131" s="50">
        <v>0</v>
      </c>
      <c r="BZ131" s="470"/>
      <c r="CA131" s="50">
        <v>0</v>
      </c>
      <c r="CB131" s="50">
        <v>0</v>
      </c>
      <c r="CC131" s="50">
        <v>0</v>
      </c>
      <c r="CD131" s="50">
        <v>0</v>
      </c>
      <c r="CE131" s="470"/>
      <c r="CF131" s="50">
        <v>0</v>
      </c>
      <c r="CG131" s="50">
        <v>0</v>
      </c>
      <c r="CH131" s="50">
        <v>0</v>
      </c>
      <c r="CI131" s="50">
        <v>0</v>
      </c>
      <c r="CJ131" s="470"/>
      <c r="CK131" s="50">
        <v>0</v>
      </c>
      <c r="CL131" s="50">
        <v>22</v>
      </c>
      <c r="CM131" s="50">
        <v>0</v>
      </c>
      <c r="CN131" s="50">
        <v>0</v>
      </c>
      <c r="CO131" s="470"/>
      <c r="CP131" s="50">
        <v>0</v>
      </c>
      <c r="CQ131" s="50">
        <v>172</v>
      </c>
      <c r="CR131" s="50">
        <v>0</v>
      </c>
      <c r="CS131" s="50">
        <v>0</v>
      </c>
      <c r="CT131" s="470"/>
      <c r="CU131" s="50">
        <v>0</v>
      </c>
      <c r="CV131" s="50">
        <v>0</v>
      </c>
      <c r="CW131" s="50">
        <v>0</v>
      </c>
      <c r="CX131" s="50">
        <v>0</v>
      </c>
      <c r="CY131" s="470"/>
      <c r="CZ131" s="50">
        <v>0</v>
      </c>
      <c r="DA131" s="50">
        <v>0</v>
      </c>
      <c r="DB131" s="50">
        <v>0</v>
      </c>
      <c r="DC131" s="50">
        <v>0</v>
      </c>
      <c r="DD131" s="470"/>
      <c r="DE131" s="50">
        <v>0</v>
      </c>
      <c r="DF131" s="50">
        <v>966.39999999999782</v>
      </c>
      <c r="DG131" s="50">
        <v>0</v>
      </c>
      <c r="DH131" s="50">
        <v>0</v>
      </c>
      <c r="DI131" s="470"/>
      <c r="DJ131" s="50">
        <v>0</v>
      </c>
      <c r="DK131" s="50">
        <v>0</v>
      </c>
      <c r="DL131" s="50">
        <v>0</v>
      </c>
      <c r="DM131" s="50">
        <v>0</v>
      </c>
      <c r="DN131" s="470"/>
      <c r="DO131" s="50">
        <v>0</v>
      </c>
      <c r="DP131" s="50">
        <v>190.04999999999973</v>
      </c>
      <c r="DQ131" s="50">
        <v>0</v>
      </c>
      <c r="DR131" s="50">
        <v>0</v>
      </c>
      <c r="DS131" s="470"/>
      <c r="DT131" s="50">
        <v>0</v>
      </c>
      <c r="DU131" s="50">
        <v>0</v>
      </c>
      <c r="DV131" s="50">
        <v>0</v>
      </c>
      <c r="DW131" s="50">
        <v>0</v>
      </c>
      <c r="DX131" s="470"/>
      <c r="DY131" s="50">
        <v>0</v>
      </c>
      <c r="DZ131" s="50">
        <v>1479</v>
      </c>
      <c r="EA131" s="50">
        <v>0</v>
      </c>
      <c r="EB131" s="50">
        <v>0</v>
      </c>
      <c r="EC131" s="470"/>
      <c r="ED131" s="50">
        <v>0</v>
      </c>
      <c r="EE131" s="50">
        <v>0</v>
      </c>
      <c r="EF131" s="50">
        <v>0</v>
      </c>
      <c r="EG131" s="50">
        <v>0</v>
      </c>
      <c r="EH131" s="470"/>
      <c r="EI131" s="50">
        <v>0</v>
      </c>
      <c r="EJ131" s="50">
        <v>0</v>
      </c>
      <c r="EK131" s="50">
        <v>0</v>
      </c>
      <c r="EL131" s="50">
        <v>0</v>
      </c>
      <c r="EM131" s="470"/>
      <c r="EN131" s="50">
        <v>0</v>
      </c>
      <c r="EO131" s="50">
        <v>289.7999999999995</v>
      </c>
      <c r="EP131" s="50">
        <v>0</v>
      </c>
      <c r="EQ131" s="50">
        <v>0</v>
      </c>
      <c r="ER131" s="470"/>
      <c r="ES131" s="50">
        <v>0</v>
      </c>
      <c r="ET131" s="50">
        <v>172.69999999999982</v>
      </c>
      <c r="EU131" s="50">
        <v>0</v>
      </c>
      <c r="EV131" s="50">
        <v>0</v>
      </c>
      <c r="EW131" s="470"/>
      <c r="EX131" s="50">
        <v>0</v>
      </c>
      <c r="EY131" s="50">
        <v>0</v>
      </c>
      <c r="EZ131" s="50">
        <v>0</v>
      </c>
      <c r="FA131" s="50">
        <v>0</v>
      </c>
      <c r="FB131" s="470"/>
      <c r="FC131" s="50">
        <v>0</v>
      </c>
      <c r="FD131" s="50">
        <v>1246.7499999999673</v>
      </c>
      <c r="FE131" s="50">
        <v>0</v>
      </c>
      <c r="FF131" s="50">
        <v>0</v>
      </c>
      <c r="FG131" s="470"/>
      <c r="FH131" s="50">
        <v>0</v>
      </c>
      <c r="FI131" s="50">
        <v>35.000000000000909</v>
      </c>
      <c r="FJ131" s="50">
        <v>0</v>
      </c>
      <c r="FK131" s="50">
        <v>0</v>
      </c>
      <c r="FL131" s="470"/>
      <c r="FM131" s="50">
        <v>0</v>
      </c>
      <c r="FN131" s="50">
        <v>0</v>
      </c>
      <c r="FO131" s="50">
        <v>0</v>
      </c>
      <c r="FP131" s="50">
        <v>0</v>
      </c>
      <c r="FQ131" s="470"/>
      <c r="FR131" s="50">
        <v>0</v>
      </c>
      <c r="FS131" s="50">
        <v>0</v>
      </c>
      <c r="FT131" s="50">
        <v>0</v>
      </c>
      <c r="FU131" s="50">
        <v>0</v>
      </c>
      <c r="FV131" s="470"/>
      <c r="FW131" s="50">
        <v>0</v>
      </c>
      <c r="FX131" s="50">
        <v>0</v>
      </c>
      <c r="FY131" s="50">
        <v>0</v>
      </c>
      <c r="FZ131" s="50">
        <v>0</v>
      </c>
      <c r="GA131" s="470"/>
      <c r="GB131" s="50">
        <v>0</v>
      </c>
      <c r="GC131" s="50">
        <v>170.44999999999936</v>
      </c>
      <c r="GD131" s="50">
        <v>0</v>
      </c>
      <c r="GE131" s="50">
        <v>0</v>
      </c>
      <c r="GF131" s="470"/>
      <c r="GG131" s="50">
        <v>0</v>
      </c>
      <c r="GH131" s="50">
        <v>0</v>
      </c>
      <c r="GI131" s="50">
        <v>0</v>
      </c>
      <c r="GJ131" s="50">
        <v>0</v>
      </c>
      <c r="GK131" s="470"/>
      <c r="GL131" s="50">
        <v>0</v>
      </c>
      <c r="GM131" s="50">
        <v>266.80000000000018</v>
      </c>
      <c r="GN131" s="50">
        <v>0</v>
      </c>
      <c r="GO131" s="50">
        <v>0</v>
      </c>
      <c r="GP131" s="470"/>
      <c r="GQ131" s="50">
        <v>0</v>
      </c>
      <c r="GR131" s="50">
        <v>129.99999999999818</v>
      </c>
      <c r="GS131" s="50">
        <v>0</v>
      </c>
      <c r="GT131" s="50">
        <v>0</v>
      </c>
      <c r="GU131" s="470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4"/>
      <c r="H132" s="470"/>
      <c r="I132" s="9"/>
      <c r="J132" s="464"/>
      <c r="K132" s="9"/>
      <c r="L132" s="1"/>
      <c r="M132" s="470"/>
      <c r="N132" s="1"/>
      <c r="O132" s="1"/>
      <c r="P132" s="9"/>
      <c r="Q132" s="1"/>
      <c r="R132" s="470"/>
      <c r="S132" s="1"/>
      <c r="T132" s="9"/>
      <c r="U132" s="1"/>
      <c r="V132" s="1"/>
      <c r="W132" s="470"/>
      <c r="X132" s="1"/>
      <c r="Y132" s="9"/>
      <c r="Z132" s="1"/>
      <c r="AA132" s="9"/>
      <c r="AB132" s="470"/>
      <c r="AC132" s="9"/>
      <c r="AE132" s="18"/>
      <c r="AF132" s="9"/>
      <c r="AG132" s="470"/>
      <c r="AH132" s="9"/>
      <c r="AL132" s="470"/>
      <c r="AN132" s="18"/>
      <c r="AO132" s="9"/>
      <c r="AQ132" s="470"/>
      <c r="AS132" s="9"/>
      <c r="AU132" s="9"/>
      <c r="AV132" s="470"/>
      <c r="AW132" s="18"/>
      <c r="AX132" s="9"/>
      <c r="AZ132" s="9"/>
      <c r="BA132" s="470"/>
      <c r="BB132" s="9"/>
      <c r="BD132" s="9"/>
      <c r="BF132" s="470"/>
      <c r="BG132" s="9"/>
      <c r="BI132" s="9"/>
      <c r="BK132" s="470"/>
      <c r="BM132" s="9"/>
      <c r="BP132" s="470"/>
      <c r="BR132" s="9"/>
      <c r="BT132" s="9"/>
      <c r="BU132" s="470"/>
      <c r="BV132" s="9"/>
      <c r="BY132" s="9"/>
      <c r="BZ132" s="470"/>
      <c r="CB132" s="9"/>
      <c r="CD132" s="9"/>
      <c r="CE132" s="470"/>
      <c r="CF132" s="18"/>
      <c r="CG132" s="9"/>
      <c r="CH132" s="18"/>
      <c r="CI132" s="9"/>
      <c r="CJ132" s="470"/>
      <c r="CK132" s="9"/>
      <c r="CM132" s="9"/>
      <c r="CO132" s="470"/>
      <c r="CP132" s="9"/>
      <c r="CQ132" s="18"/>
      <c r="CR132" s="9"/>
      <c r="CT132" s="470"/>
      <c r="CV132" s="9"/>
      <c r="CX132" s="18"/>
      <c r="CY132" s="470"/>
      <c r="DA132" s="9"/>
      <c r="DC132" s="9"/>
      <c r="DD132" s="470"/>
      <c r="DE132" s="9"/>
      <c r="DG132" s="18"/>
      <c r="DH132" s="9"/>
      <c r="DI132" s="470"/>
      <c r="DJ132" s="9"/>
      <c r="DL132" s="9"/>
      <c r="DN132" s="470"/>
      <c r="DP132" s="18"/>
      <c r="DQ132" s="9"/>
      <c r="DS132" s="470"/>
      <c r="DU132" s="9"/>
      <c r="DW132" s="9"/>
      <c r="DX132" s="470"/>
      <c r="DY132" s="18"/>
      <c r="DZ132" s="9"/>
      <c r="EA132" s="18"/>
      <c r="EB132" s="9"/>
      <c r="EC132" s="470"/>
      <c r="ED132" s="9"/>
      <c r="EF132" s="9"/>
      <c r="EG132" s="18"/>
      <c r="EH132" s="470"/>
      <c r="EI132" s="9"/>
      <c r="EJ132" s="18"/>
      <c r="EK132" s="9"/>
      <c r="EM132" s="470"/>
      <c r="EO132" s="9"/>
      <c r="EQ132" s="18"/>
      <c r="ER132" s="470"/>
      <c r="ES132" s="18"/>
      <c r="ET132" s="9"/>
      <c r="EV132" s="9"/>
      <c r="EW132" s="470"/>
      <c r="EX132" s="9"/>
      <c r="EZ132" s="18"/>
      <c r="FA132" s="9"/>
      <c r="FB132" s="470"/>
      <c r="FC132" s="9"/>
      <c r="FE132" s="9"/>
      <c r="FG132" s="470"/>
      <c r="FI132" s="18"/>
      <c r="FJ132" s="9"/>
      <c r="FL132" s="470"/>
      <c r="FN132" s="9"/>
      <c r="FP132" s="9"/>
      <c r="FQ132" s="470"/>
      <c r="FR132" s="18"/>
      <c r="FS132" s="9"/>
      <c r="FT132" s="18"/>
      <c r="FU132" s="9"/>
      <c r="FV132" s="470"/>
      <c r="FW132" s="9"/>
      <c r="FY132" s="9"/>
      <c r="GA132" s="470"/>
      <c r="GB132" s="9"/>
      <c r="GC132" s="18"/>
      <c r="GD132" s="9"/>
      <c r="GF132" s="470"/>
      <c r="GH132" s="9"/>
      <c r="GJ132" s="18"/>
      <c r="GK132" s="470"/>
      <c r="GM132" s="9"/>
      <c r="GO132" s="9"/>
      <c r="GP132" s="470"/>
      <c r="GQ132" s="9"/>
      <c r="GS132" s="18"/>
      <c r="GT132" s="9"/>
      <c r="GU132" s="470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4"/>
      <c r="H133" s="470"/>
      <c r="I133" s="9"/>
      <c r="J133" s="464"/>
      <c r="K133" s="9"/>
      <c r="L133" s="1"/>
      <c r="M133" s="470"/>
      <c r="N133" s="1"/>
      <c r="O133" s="1"/>
      <c r="P133" s="9"/>
      <c r="Q133" s="1"/>
      <c r="R133" s="470"/>
      <c r="S133" s="1"/>
      <c r="T133" s="9"/>
      <c r="U133" s="1"/>
      <c r="V133" s="1"/>
      <c r="W133" s="470"/>
      <c r="X133" s="1"/>
      <c r="Y133" s="9"/>
      <c r="Z133" s="1"/>
      <c r="AA133" s="9"/>
      <c r="AB133" s="470"/>
      <c r="AC133" s="9"/>
      <c r="AE133" s="18"/>
      <c r="AF133" s="9"/>
      <c r="AG133" s="470"/>
      <c r="AH133" s="9"/>
      <c r="AJ133" s="9"/>
      <c r="AL133" s="470"/>
      <c r="AN133" s="18"/>
      <c r="AO133" s="9"/>
      <c r="AQ133" s="470"/>
      <c r="AS133" s="9"/>
      <c r="AU133" s="9"/>
      <c r="AV133" s="470"/>
      <c r="AW133" s="18"/>
      <c r="AX133" s="9"/>
      <c r="AZ133" s="9"/>
      <c r="BA133" s="470"/>
      <c r="BB133" s="9"/>
      <c r="BD133" s="9"/>
      <c r="BF133" s="470"/>
      <c r="BG133" s="9"/>
      <c r="BI133" s="9"/>
      <c r="BK133" s="470"/>
      <c r="BM133" s="9"/>
      <c r="BO133" s="18"/>
      <c r="BP133" s="470"/>
      <c r="BR133" s="9"/>
      <c r="BT133" s="9"/>
      <c r="BU133" s="470"/>
      <c r="BV133" s="9"/>
      <c r="BY133" s="9"/>
      <c r="BZ133" s="470"/>
      <c r="CB133" s="9"/>
      <c r="CD133" s="9"/>
      <c r="CE133" s="470"/>
      <c r="CF133" s="18"/>
      <c r="CG133" s="9"/>
      <c r="CH133" s="18"/>
      <c r="CI133" s="9"/>
      <c r="CJ133" s="470"/>
      <c r="CK133" s="9"/>
      <c r="CM133" s="9"/>
      <c r="CO133" s="470"/>
      <c r="CP133" s="9"/>
      <c r="CQ133" s="18"/>
      <c r="CR133" s="9"/>
      <c r="CT133" s="470"/>
      <c r="CV133" s="9"/>
      <c r="CX133" s="18"/>
      <c r="CY133" s="470"/>
      <c r="DA133" s="9"/>
      <c r="DC133" s="9"/>
      <c r="DD133" s="470"/>
      <c r="DE133" s="9"/>
      <c r="DG133" s="18"/>
      <c r="DH133" s="9"/>
      <c r="DI133" s="470"/>
      <c r="DJ133" s="9"/>
      <c r="DL133" s="9"/>
      <c r="DN133" s="470"/>
      <c r="DP133" s="18"/>
      <c r="DQ133" s="9"/>
      <c r="DS133" s="470"/>
      <c r="DU133" s="9"/>
      <c r="DW133" s="9"/>
      <c r="DX133" s="470"/>
      <c r="DY133" s="18"/>
      <c r="DZ133" s="9"/>
      <c r="EA133" s="18"/>
      <c r="EB133" s="9"/>
      <c r="EC133" s="470"/>
      <c r="ED133" s="9"/>
      <c r="EF133" s="9"/>
      <c r="EH133" s="470"/>
      <c r="EI133" s="9"/>
      <c r="EJ133" s="18"/>
      <c r="EK133" s="9"/>
      <c r="EM133" s="470"/>
      <c r="EO133" s="9"/>
      <c r="EQ133" s="18"/>
      <c r="ER133" s="470"/>
      <c r="ES133" s="18"/>
      <c r="ET133" s="9"/>
      <c r="EV133" s="9"/>
      <c r="EW133" s="470"/>
      <c r="EX133" s="9"/>
      <c r="EZ133" s="18"/>
      <c r="FA133" s="9"/>
      <c r="FB133" s="470"/>
      <c r="FC133" s="9"/>
      <c r="FE133" s="9"/>
      <c r="FG133" s="470"/>
      <c r="FI133" s="18"/>
      <c r="FJ133" s="9"/>
      <c r="FL133" s="470"/>
      <c r="FN133" s="9"/>
      <c r="FP133" s="9"/>
      <c r="FQ133" s="470"/>
      <c r="FR133" s="18"/>
      <c r="FS133" s="9"/>
      <c r="FT133" s="18"/>
      <c r="FU133" s="9"/>
      <c r="FV133" s="470"/>
      <c r="FW133" s="9"/>
      <c r="FY133" s="9"/>
      <c r="GA133" s="470"/>
      <c r="GB133" s="9"/>
      <c r="GC133" s="18"/>
      <c r="GD133" s="9"/>
      <c r="GF133" s="470"/>
      <c r="GH133" s="9"/>
      <c r="GJ133" s="18"/>
      <c r="GK133" s="470"/>
      <c r="GM133" s="9"/>
      <c r="GO133" s="9"/>
      <c r="GP133" s="470"/>
      <c r="GQ133" s="9"/>
      <c r="GS133" s="18"/>
      <c r="GT133" s="9"/>
      <c r="GU133" s="470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4"/>
      <c r="H134" s="470"/>
      <c r="I134" s="9"/>
      <c r="J134" s="464"/>
      <c r="K134" s="9"/>
      <c r="L134" s="1"/>
      <c r="M134" s="470"/>
      <c r="N134" s="1"/>
      <c r="O134" s="1"/>
      <c r="P134" s="9"/>
      <c r="Q134" s="1"/>
      <c r="R134" s="470"/>
      <c r="S134" s="1"/>
      <c r="T134" s="9"/>
      <c r="U134" s="1"/>
      <c r="V134" s="1"/>
      <c r="W134" s="470"/>
      <c r="X134" s="1"/>
      <c r="Y134" s="9"/>
      <c r="Z134" s="1"/>
      <c r="AA134" s="9"/>
      <c r="AB134" s="470"/>
      <c r="AC134" s="9"/>
      <c r="AE134" s="18"/>
      <c r="AF134" s="9"/>
      <c r="AG134" s="470"/>
      <c r="AH134" s="9"/>
      <c r="AJ134" s="9"/>
      <c r="AL134" s="470"/>
      <c r="AN134" s="18"/>
      <c r="AO134" s="9"/>
      <c r="AQ134" s="470"/>
      <c r="AS134" s="9"/>
      <c r="AU134" s="9"/>
      <c r="AV134" s="470"/>
      <c r="AW134" s="18"/>
      <c r="AX134" s="9"/>
      <c r="AZ134" s="9"/>
      <c r="BA134" s="470"/>
      <c r="BB134" s="9"/>
      <c r="BD134" s="9"/>
      <c r="BF134" s="470"/>
      <c r="BG134" s="9"/>
      <c r="BI134" s="9"/>
      <c r="BK134" s="470"/>
      <c r="BM134" s="9"/>
      <c r="BO134" s="18"/>
      <c r="BP134" s="470"/>
      <c r="BR134" s="9"/>
      <c r="BT134" s="9"/>
      <c r="BU134" s="470"/>
      <c r="BV134" s="9"/>
      <c r="BY134" s="9"/>
      <c r="BZ134" s="470"/>
      <c r="CB134" s="9"/>
      <c r="CD134" s="9"/>
      <c r="CE134" s="470"/>
      <c r="CF134" s="18"/>
      <c r="CG134" s="9"/>
      <c r="CH134" s="18"/>
      <c r="CI134" s="9"/>
      <c r="CJ134" s="470"/>
      <c r="CK134" s="9"/>
      <c r="CM134" s="9"/>
      <c r="CO134" s="470"/>
      <c r="CP134" s="9"/>
      <c r="CQ134" s="18"/>
      <c r="CR134" s="9"/>
      <c r="CT134" s="470"/>
      <c r="CV134" s="9"/>
      <c r="CX134" s="18"/>
      <c r="CY134" s="470"/>
      <c r="DA134" s="9"/>
      <c r="DC134" s="9"/>
      <c r="DD134" s="470"/>
      <c r="DE134" s="9"/>
      <c r="DG134" s="18"/>
      <c r="DH134" s="9"/>
      <c r="DI134" s="470"/>
      <c r="DJ134" s="9"/>
      <c r="DL134" s="9"/>
      <c r="DN134" s="470"/>
      <c r="DP134" s="18"/>
      <c r="DQ134" s="9"/>
      <c r="DS134" s="470"/>
      <c r="DU134" s="9"/>
      <c r="DW134" s="9"/>
      <c r="DX134" s="470"/>
      <c r="DY134" s="18"/>
      <c r="DZ134" s="9"/>
      <c r="EA134" s="18"/>
      <c r="EB134" s="9"/>
      <c r="EC134" s="470"/>
      <c r="ED134" s="9"/>
      <c r="EF134" s="9"/>
      <c r="EH134" s="470"/>
      <c r="EI134" s="9"/>
      <c r="EJ134" s="18"/>
      <c r="EK134" s="9"/>
      <c r="EM134" s="470"/>
      <c r="EO134" s="9"/>
      <c r="EQ134" s="18"/>
      <c r="ER134" s="470"/>
      <c r="ES134" s="18"/>
      <c r="ET134" s="9"/>
      <c r="EV134" s="9"/>
      <c r="EW134" s="470"/>
      <c r="EX134" s="9"/>
      <c r="EZ134" s="18"/>
      <c r="FA134" s="9"/>
      <c r="FB134" s="470"/>
      <c r="FC134" s="9"/>
      <c r="FE134" s="9"/>
      <c r="FG134" s="470"/>
      <c r="FI134" s="18"/>
      <c r="FJ134" s="9"/>
      <c r="FL134" s="470"/>
      <c r="FN134" s="9"/>
      <c r="FP134" s="9"/>
      <c r="FQ134" s="470"/>
      <c r="FR134" s="18"/>
      <c r="FS134" s="9"/>
      <c r="FT134" s="18"/>
      <c r="FU134" s="9"/>
      <c r="FV134" s="470"/>
      <c r="FW134" s="9"/>
      <c r="FY134" s="9"/>
      <c r="GA134" s="470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4"/>
      <c r="H135" s="470"/>
      <c r="I135" s="9"/>
      <c r="J135" s="464"/>
      <c r="K135" s="9"/>
      <c r="L135" s="1"/>
      <c r="M135" s="470"/>
      <c r="N135" s="9"/>
      <c r="O135" s="1"/>
      <c r="P135" s="9"/>
      <c r="Q135" s="1"/>
      <c r="R135" s="470"/>
      <c r="S135" s="1"/>
      <c r="T135" s="9"/>
      <c r="U135" s="1"/>
      <c r="V135" s="1"/>
      <c r="W135" s="470"/>
      <c r="X135" s="1"/>
      <c r="Y135" s="9"/>
      <c r="Z135" s="1"/>
      <c r="AA135" s="9"/>
      <c r="AB135" s="470"/>
      <c r="AC135" s="9"/>
      <c r="AE135" s="18"/>
      <c r="AF135" s="9"/>
      <c r="AG135" s="470"/>
      <c r="AH135" s="9"/>
      <c r="AJ135" s="9"/>
      <c r="AL135" s="470"/>
      <c r="AN135" s="18"/>
      <c r="AO135" s="9"/>
      <c r="AQ135" s="470"/>
      <c r="AS135" s="9"/>
      <c r="AU135" s="9"/>
      <c r="AV135" s="470"/>
      <c r="AW135" s="18"/>
      <c r="AX135" s="9"/>
      <c r="AZ135" s="9"/>
      <c r="BA135" s="470"/>
      <c r="BB135" s="9"/>
      <c r="BD135" s="9"/>
      <c r="BF135" s="470"/>
      <c r="BG135" s="9"/>
      <c r="BI135" s="9"/>
      <c r="BK135" s="470"/>
      <c r="BM135" s="9"/>
      <c r="BO135" s="18"/>
      <c r="BP135" s="470"/>
      <c r="BR135" s="9"/>
      <c r="BT135" s="9"/>
      <c r="BU135" s="470"/>
      <c r="BV135" s="9"/>
      <c r="BY135" s="9"/>
      <c r="BZ135" s="470"/>
      <c r="CB135" s="9"/>
      <c r="CD135" s="9"/>
      <c r="CE135" s="470"/>
      <c r="CF135" s="18"/>
      <c r="CG135" s="9"/>
      <c r="CH135" s="18"/>
      <c r="CI135" s="9"/>
      <c r="CJ135" s="470"/>
      <c r="CK135" s="9"/>
      <c r="CM135" s="9"/>
      <c r="CO135" s="470"/>
      <c r="CP135" s="9"/>
      <c r="CQ135" s="18"/>
      <c r="CR135" s="9"/>
      <c r="CT135" s="470"/>
      <c r="CV135" s="9"/>
      <c r="CX135" s="18"/>
      <c r="CY135" s="470"/>
      <c r="DA135" s="9"/>
      <c r="DC135" s="9"/>
      <c r="DD135" s="470"/>
      <c r="DE135" s="9"/>
      <c r="DG135" s="18"/>
      <c r="DH135" s="9"/>
      <c r="DI135" s="470"/>
      <c r="DJ135" s="9"/>
      <c r="DL135" s="9"/>
      <c r="DN135" s="470"/>
      <c r="DP135" s="18"/>
      <c r="DQ135" s="9"/>
      <c r="DS135" s="470"/>
      <c r="DU135" s="9"/>
      <c r="DW135" s="9"/>
      <c r="DX135" s="470"/>
      <c r="DY135" s="18"/>
      <c r="DZ135" s="9"/>
      <c r="EA135" s="18"/>
      <c r="EB135" s="9"/>
      <c r="EC135" s="470"/>
      <c r="ED135" s="9"/>
      <c r="EF135" s="9"/>
      <c r="EH135" s="470"/>
      <c r="EI135" s="9"/>
      <c r="EJ135" s="18"/>
      <c r="EK135" s="9"/>
      <c r="EM135" s="470"/>
      <c r="EO135" s="9"/>
      <c r="EQ135" s="18"/>
      <c r="ER135" s="470"/>
      <c r="ES135" s="18"/>
      <c r="ET135" s="9"/>
      <c r="EV135" s="9"/>
      <c r="EW135" s="470"/>
      <c r="EX135" s="9"/>
      <c r="EZ135" s="18"/>
      <c r="FA135" s="9"/>
      <c r="FB135" s="470"/>
      <c r="FC135" s="9"/>
      <c r="FE135" s="9"/>
      <c r="FG135" s="470"/>
      <c r="FI135" s="18"/>
      <c r="FJ135" s="9"/>
      <c r="FL135" s="470"/>
      <c r="FN135" s="9"/>
      <c r="FP135" s="9"/>
      <c r="FQ135" s="470"/>
      <c r="FR135" s="18"/>
      <c r="FS135" s="9"/>
      <c r="FT135" s="18"/>
      <c r="FU135" s="9"/>
      <c r="FV135" s="470"/>
      <c r="FW135" s="9"/>
      <c r="FY135" s="9"/>
      <c r="GA135" s="470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1854</v>
      </c>
      <c r="AW138" s="40"/>
      <c r="AX138" s="40"/>
      <c r="AY138" s="175"/>
      <c r="AZ138" s="18"/>
      <c r="BA138"/>
      <c r="BB138" s="18"/>
      <c r="BC138"/>
      <c r="BE138" s="352" t="s">
        <v>2360</v>
      </c>
      <c r="BF138" s="18"/>
      <c r="BG138" s="353"/>
      <c r="BH138" s="18"/>
      <c r="BI138" s="18"/>
      <c r="BN138" s="352" t="s">
        <v>4623</v>
      </c>
      <c r="BO138" s="18"/>
      <c r="BP138" s="353"/>
      <c r="BQ138" s="18"/>
      <c r="BR138" s="18"/>
      <c r="BX138" s="351"/>
      <c r="BY138" s="18"/>
      <c r="BZ138" s="472"/>
      <c r="CA138" s="18"/>
      <c r="CF138" s="351"/>
      <c r="CG138" s="18"/>
      <c r="CH138" s="472"/>
      <c r="CI138" s="18"/>
      <c r="CJ138" s="18"/>
      <c r="CO138" s="351"/>
      <c r="CP138" s="18"/>
      <c r="CQ138" s="472"/>
      <c r="CR138" s="18"/>
      <c r="CS138" s="18"/>
      <c r="CX138" s="351"/>
      <c r="CY138" s="18"/>
      <c r="CZ138" s="472"/>
      <c r="DA138" s="18"/>
      <c r="DB138" s="18"/>
      <c r="DG138" s="351"/>
      <c r="DH138" s="18"/>
      <c r="DI138" s="472"/>
      <c r="DJ138" s="18"/>
      <c r="DK138" s="18"/>
      <c r="DP138" s="381"/>
      <c r="DQ138" s="1"/>
      <c r="DR138" s="473"/>
      <c r="DS138" s="1"/>
      <c r="DT138" s="1"/>
      <c r="DY138" s="351"/>
      <c r="DZ138" s="18"/>
      <c r="EA138" s="472"/>
      <c r="EB138" s="18"/>
      <c r="EC138" s="18"/>
      <c r="EH138" s="351"/>
      <c r="EI138" s="18"/>
      <c r="EJ138" s="472"/>
      <c r="EK138" s="18"/>
      <c r="EL138" s="18"/>
      <c r="EQ138" s="351"/>
      <c r="ER138" s="18"/>
      <c r="ES138" s="472"/>
      <c r="ET138" s="18"/>
      <c r="EU138" s="18"/>
      <c r="EZ138" s="351"/>
      <c r="FA138" s="18"/>
      <c r="FB138" s="472"/>
      <c r="FC138" s="18"/>
      <c r="FD138" s="18"/>
      <c r="FI138" s="351"/>
      <c r="FJ138" s="18"/>
      <c r="FK138" s="472"/>
      <c r="FL138" s="18"/>
      <c r="FM138" s="18"/>
      <c r="FR138" s="351"/>
      <c r="FS138" s="18"/>
      <c r="FT138" s="472"/>
      <c r="FU138" s="18"/>
      <c r="FV138" s="18"/>
      <c r="GA138" s="351"/>
      <c r="GB138" s="18"/>
      <c r="GC138" s="472"/>
      <c r="GD138" s="18"/>
      <c r="GE138" s="18"/>
      <c r="GJ138" s="351"/>
      <c r="GK138" s="18"/>
      <c r="GL138" s="472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4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5"/>
      <c r="JN138" s="476"/>
      <c r="JV138" s="475"/>
      <c r="JW138" s="476"/>
      <c r="JX138" s="477"/>
      <c r="JY138" s="476"/>
      <c r="JZ138" s="476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8"/>
      <c r="LI138" s="18"/>
      <c r="LJ138" s="18"/>
      <c r="LO138" s="475"/>
      <c r="LP138" s="476"/>
      <c r="LQ138" s="472"/>
      <c r="LR138" s="476"/>
      <c r="LS138" s="476"/>
      <c r="MG138" s="476"/>
      <c r="MH138" s="18"/>
      <c r="MI138" s="18"/>
      <c r="MJ138" s="479"/>
      <c r="ML138" s="18"/>
      <c r="MP138" s="351"/>
      <c r="MQ138" s="18"/>
      <c r="MR138" s="18"/>
      <c r="MS138" s="18"/>
      <c r="MT138" s="18"/>
      <c r="MY138" s="60"/>
      <c r="MZ138" s="3"/>
      <c r="NA138" s="480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9"/>
      <c r="BY139" s="18"/>
      <c r="BZ139" s="472"/>
      <c r="CA139" s="18"/>
      <c r="CF139" s="479"/>
      <c r="CG139" s="18"/>
      <c r="CH139" s="472"/>
      <c r="CI139" s="18"/>
      <c r="CJ139" s="18"/>
      <c r="CO139" s="479"/>
      <c r="CP139" s="18"/>
      <c r="CQ139" s="472"/>
      <c r="CR139" s="18"/>
      <c r="CS139" s="18"/>
      <c r="CX139" s="479"/>
      <c r="CY139" s="18"/>
      <c r="CZ139" s="472"/>
      <c r="DA139" s="18"/>
      <c r="DB139" s="18"/>
      <c r="DG139" s="479"/>
      <c r="DH139" s="18"/>
      <c r="DI139" s="472"/>
      <c r="DJ139" s="18"/>
      <c r="DK139" s="18"/>
      <c r="DP139" s="481"/>
      <c r="DQ139" s="1"/>
      <c r="DR139" s="473"/>
      <c r="DS139" s="1"/>
      <c r="DT139" s="1"/>
      <c r="DY139" s="479"/>
      <c r="DZ139" s="18"/>
      <c r="EA139" s="472"/>
      <c r="EB139" s="18"/>
      <c r="EC139" s="18"/>
      <c r="EH139" s="479"/>
      <c r="EI139" s="18"/>
      <c r="EJ139" s="472"/>
      <c r="EK139" s="18"/>
      <c r="EL139" s="18"/>
      <c r="EQ139" s="479"/>
      <c r="ER139" s="18"/>
      <c r="ES139" s="472"/>
      <c r="ET139" s="18"/>
      <c r="EU139" s="18"/>
      <c r="EZ139" s="479"/>
      <c r="FA139" s="18"/>
      <c r="FB139" s="472"/>
      <c r="FC139" s="18"/>
      <c r="FD139" s="18"/>
      <c r="FI139" s="479"/>
      <c r="FJ139" s="18"/>
      <c r="FK139" s="472"/>
      <c r="FL139" s="18"/>
      <c r="FM139" s="18"/>
      <c r="FR139" s="482"/>
      <c r="FS139" s="18"/>
      <c r="FT139" s="472"/>
      <c r="FU139" s="18"/>
      <c r="FV139" s="18"/>
      <c r="GA139" s="479"/>
      <c r="GB139" s="18"/>
      <c r="GC139" s="472"/>
      <c r="GD139" s="18"/>
      <c r="GE139" s="18"/>
      <c r="GJ139" s="479"/>
      <c r="GK139" s="18"/>
      <c r="GL139" s="472"/>
      <c r="GM139" s="18"/>
      <c r="GN139" s="18"/>
      <c r="HB139" s="482"/>
      <c r="HC139" s="18"/>
      <c r="HE139" s="18"/>
      <c r="HF139" s="18"/>
      <c r="HK139" s="482"/>
      <c r="HL139" s="18"/>
      <c r="HN139" s="18"/>
      <c r="HO139" s="18"/>
      <c r="HT139" s="18"/>
      <c r="HU139" s="474"/>
      <c r="HW139" s="18"/>
      <c r="HX139" s="18"/>
      <c r="HY139" s="18"/>
      <c r="IL139" s="479"/>
      <c r="IM139" s="18"/>
      <c r="IO139" s="18"/>
      <c r="IP139" s="18"/>
      <c r="IU139" s="482"/>
      <c r="IV139" s="18"/>
      <c r="IX139" s="18"/>
      <c r="IY139" s="18"/>
      <c r="JD139" s="351"/>
      <c r="JE139" s="18"/>
      <c r="JF139" s="483"/>
      <c r="JG139" s="18"/>
      <c r="JH139" s="18"/>
      <c r="JM139" s="479"/>
      <c r="JN139" s="476"/>
      <c r="JV139" s="479"/>
      <c r="JW139" s="476"/>
      <c r="JX139" s="477"/>
      <c r="JY139" s="476"/>
      <c r="JZ139" s="476"/>
      <c r="KE139" s="482"/>
      <c r="KF139" s="18"/>
      <c r="KH139" s="18"/>
      <c r="KI139" s="18"/>
      <c r="KN139" s="482"/>
      <c r="KO139" s="18"/>
      <c r="KW139" s="482"/>
      <c r="KX139" s="18"/>
      <c r="LF139" s="482"/>
      <c r="LG139" s="18"/>
      <c r="LH139" s="478"/>
      <c r="LI139" s="18"/>
      <c r="LJ139" s="18"/>
      <c r="LO139" s="479"/>
      <c r="LP139" s="476"/>
      <c r="LQ139" s="472"/>
      <c r="LR139" s="476"/>
      <c r="LS139" s="476"/>
      <c r="MG139" s="476"/>
      <c r="MH139" s="18"/>
      <c r="MI139" s="18"/>
      <c r="MJ139" s="479"/>
      <c r="ML139" s="18"/>
      <c r="MP139" s="482"/>
      <c r="MQ139" s="18"/>
      <c r="MR139" s="18"/>
      <c r="MS139" s="18"/>
      <c r="MT139" s="18"/>
      <c r="MY139" s="484"/>
      <c r="MZ139" s="3"/>
      <c r="NA139" s="485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1873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2361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4624</v>
      </c>
      <c r="BS140" s="60" t="s">
        <v>1405</v>
      </c>
      <c r="BT140" s="50"/>
      <c r="BX140" s="18"/>
      <c r="BY140" s="18"/>
      <c r="BZ140" s="472"/>
      <c r="CA140" s="18"/>
      <c r="CF140" s="18"/>
      <c r="CG140" s="18"/>
      <c r="CH140" s="472"/>
      <c r="CI140" s="18"/>
      <c r="CJ140" s="18"/>
      <c r="CO140" s="18"/>
      <c r="CP140" s="18"/>
      <c r="CQ140" s="472"/>
      <c r="CR140" s="18"/>
      <c r="CS140" s="18"/>
      <c r="CX140" s="18"/>
      <c r="CY140" s="18"/>
      <c r="CZ140" s="472"/>
      <c r="DA140" s="18"/>
      <c r="DB140" s="18"/>
      <c r="DG140" s="18"/>
      <c r="DH140" s="18"/>
      <c r="DI140" s="472"/>
      <c r="DJ140" s="18"/>
      <c r="DK140" s="18"/>
      <c r="DP140" s="1"/>
      <c r="DQ140" s="1"/>
      <c r="DR140" s="473"/>
      <c r="DS140" s="1"/>
      <c r="DT140" s="1"/>
      <c r="DY140" s="18"/>
      <c r="DZ140" s="18"/>
      <c r="EA140" s="472"/>
      <c r="EB140" s="18"/>
      <c r="EC140" s="18"/>
      <c r="EH140" s="18"/>
      <c r="EI140" s="18"/>
      <c r="EJ140" s="472"/>
      <c r="EK140" s="18"/>
      <c r="EL140" s="18"/>
      <c r="EQ140" s="18"/>
      <c r="ER140" s="18"/>
      <c r="ES140" s="472"/>
      <c r="ET140" s="18"/>
      <c r="EU140" s="18"/>
      <c r="EZ140" s="18"/>
      <c r="FA140" s="18"/>
      <c r="FB140" s="472"/>
      <c r="FC140" s="18"/>
      <c r="FD140" s="18"/>
      <c r="FI140" s="18"/>
      <c r="FJ140" s="18"/>
      <c r="FK140" s="472"/>
      <c r="FL140" s="18"/>
      <c r="FM140" s="18"/>
      <c r="FR140" s="18"/>
      <c r="FS140" s="18"/>
      <c r="FT140" s="472"/>
      <c r="FU140" s="18"/>
      <c r="FV140" s="18"/>
      <c r="GA140" s="18"/>
      <c r="GB140" s="18"/>
      <c r="GC140" s="472"/>
      <c r="GD140" s="18"/>
      <c r="GE140" s="18"/>
      <c r="GJ140" s="18"/>
      <c r="GK140" s="18"/>
      <c r="GL140" s="472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4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9"/>
      <c r="JE140" s="18"/>
      <c r="JF140" s="483"/>
      <c r="JG140" s="18"/>
      <c r="JH140" s="18"/>
      <c r="JM140" s="476"/>
      <c r="JN140" s="476"/>
      <c r="JV140" s="476"/>
      <c r="JW140" s="476"/>
      <c r="JX140" s="477"/>
      <c r="JY140" s="476"/>
      <c r="JZ140" s="476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7"/>
      <c r="LI140" s="18"/>
      <c r="LJ140" s="18"/>
      <c r="LO140" s="476"/>
      <c r="LP140" s="476"/>
      <c r="LQ140" s="472"/>
      <c r="LR140" s="476"/>
      <c r="LS140" s="476"/>
      <c r="MG140" s="476"/>
      <c r="MH140" s="18"/>
      <c r="MI140" s="18"/>
      <c r="MJ140" s="479"/>
      <c r="ML140" s="18"/>
      <c r="MP140" s="18"/>
      <c r="MQ140" s="18"/>
      <c r="MR140" s="18"/>
      <c r="MS140" s="18"/>
      <c r="MT140" s="18"/>
      <c r="MY140" s="3"/>
      <c r="MZ140" s="3"/>
      <c r="NA140" s="486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2358</v>
      </c>
      <c r="BI141" s="18"/>
      <c r="BK141" s="50"/>
      <c r="BN141" s="49" t="s">
        <v>4625</v>
      </c>
      <c r="BO141" s="18"/>
      <c r="BP141" s="353"/>
      <c r="BQ141" s="173"/>
      <c r="BR141" s="18"/>
      <c r="BT141" s="50"/>
      <c r="BX141" s="351"/>
      <c r="BY141" s="18"/>
      <c r="BZ141" s="472"/>
      <c r="CA141" s="18"/>
      <c r="CF141" s="351"/>
      <c r="CG141" s="18"/>
      <c r="CH141" s="472"/>
      <c r="CI141" s="18"/>
      <c r="CJ141" s="18"/>
      <c r="CO141" s="351"/>
      <c r="CP141" s="18"/>
      <c r="CQ141" s="472"/>
      <c r="CR141" s="18"/>
      <c r="CS141" s="18"/>
      <c r="CX141" s="351"/>
      <c r="CY141" s="18"/>
      <c r="CZ141" s="472"/>
      <c r="DA141" s="18"/>
      <c r="DB141" s="18"/>
      <c r="DG141" s="351"/>
      <c r="DH141" s="18"/>
      <c r="DI141" s="472"/>
      <c r="DJ141" s="18"/>
      <c r="DK141" s="18"/>
      <c r="DP141" s="381"/>
      <c r="DQ141" s="1"/>
      <c r="DR141" s="473"/>
      <c r="DS141" s="1"/>
      <c r="DT141" s="1"/>
      <c r="DY141" s="351"/>
      <c r="DZ141" s="18"/>
      <c r="EA141" s="472"/>
      <c r="EB141" s="18"/>
      <c r="EC141" s="18"/>
      <c r="EH141" s="351"/>
      <c r="EI141" s="18"/>
      <c r="EJ141" s="472"/>
      <c r="EK141" s="18"/>
      <c r="EL141" s="18"/>
      <c r="EQ141" s="351"/>
      <c r="ER141" s="18"/>
      <c r="ES141" s="472"/>
      <c r="ET141" s="18"/>
      <c r="EU141" s="18"/>
      <c r="EZ141" s="351"/>
      <c r="FA141" s="18"/>
      <c r="FB141" s="472"/>
      <c r="FC141" s="18"/>
      <c r="FD141" s="18"/>
      <c r="FI141" s="351"/>
      <c r="FJ141" s="18"/>
      <c r="FK141" s="472"/>
      <c r="FL141" s="18"/>
      <c r="FM141" s="18"/>
      <c r="FR141" s="351"/>
      <c r="FS141" s="18"/>
      <c r="FT141" s="472"/>
      <c r="FU141" s="18"/>
      <c r="FV141" s="18"/>
      <c r="GA141" s="351"/>
      <c r="GB141" s="18"/>
      <c r="GC141" s="472"/>
      <c r="GD141" s="18"/>
      <c r="GE141" s="18"/>
      <c r="GJ141" s="351"/>
      <c r="GK141" s="18"/>
      <c r="GL141" s="472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4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2"/>
      <c r="JG141" s="18"/>
      <c r="JH141" s="18"/>
      <c r="JM141" s="475"/>
      <c r="JN141" s="476"/>
      <c r="JV141" s="475"/>
      <c r="JW141" s="476"/>
      <c r="JX141" s="477"/>
      <c r="JY141" s="476"/>
      <c r="JZ141" s="476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7"/>
      <c r="LI141" s="18"/>
      <c r="LJ141" s="18"/>
      <c r="LO141" s="475"/>
      <c r="LP141" s="476"/>
      <c r="LQ141" s="472"/>
      <c r="LR141" s="476"/>
      <c r="LS141" s="476"/>
      <c r="MG141" s="476"/>
      <c r="MH141" s="18"/>
      <c r="MI141" s="18"/>
      <c r="MJ141" s="479"/>
      <c r="ML141" s="18"/>
      <c r="MP141" s="351"/>
      <c r="MQ141" s="18"/>
      <c r="MR141" s="18"/>
      <c r="MS141" s="18"/>
      <c r="MT141" s="18"/>
      <c r="MY141" s="60"/>
      <c r="MZ141" s="3"/>
      <c r="NA141" s="487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1874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2362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4626</v>
      </c>
      <c r="BS142" s="60" t="s">
        <v>1406</v>
      </c>
      <c r="BT142" s="50"/>
      <c r="BX142" s="479"/>
      <c r="BY142" s="18"/>
      <c r="BZ142" s="472"/>
      <c r="CA142" s="18"/>
      <c r="CF142" s="479"/>
      <c r="CG142" s="18"/>
      <c r="CH142" s="472"/>
      <c r="CI142" s="18"/>
      <c r="CJ142" s="18"/>
      <c r="CO142" s="479"/>
      <c r="CP142" s="18"/>
      <c r="CQ142" s="472"/>
      <c r="CR142" s="18"/>
      <c r="CS142" s="18"/>
      <c r="CX142" s="479"/>
      <c r="CY142" s="18"/>
      <c r="CZ142" s="472"/>
      <c r="DA142" s="18"/>
      <c r="DB142" s="18"/>
      <c r="DG142" s="479"/>
      <c r="DH142" s="18"/>
      <c r="DI142" s="472"/>
      <c r="DJ142" s="18"/>
      <c r="DK142" s="18"/>
      <c r="DP142" s="481"/>
      <c r="DQ142" s="1"/>
      <c r="DR142" s="473"/>
      <c r="DS142" s="1"/>
      <c r="DT142" s="1"/>
      <c r="DY142" s="479"/>
      <c r="DZ142" s="18"/>
      <c r="EA142" s="472"/>
      <c r="EB142" s="18"/>
      <c r="EC142" s="18"/>
      <c r="EH142" s="479"/>
      <c r="EI142" s="18"/>
      <c r="EJ142" s="472"/>
      <c r="EK142" s="18"/>
      <c r="EL142" s="18"/>
      <c r="EQ142" s="479"/>
      <c r="ER142" s="18"/>
      <c r="ES142" s="472"/>
      <c r="ET142" s="18"/>
      <c r="EU142" s="18"/>
      <c r="EZ142" s="479"/>
      <c r="FA142" s="18"/>
      <c r="FB142" s="472"/>
      <c r="FC142" s="18"/>
      <c r="FD142" s="18"/>
      <c r="FI142" s="479"/>
      <c r="FJ142" s="18"/>
      <c r="FK142" s="472"/>
      <c r="FL142" s="18"/>
      <c r="FM142" s="18"/>
      <c r="FR142" s="482"/>
      <c r="FS142" s="18"/>
      <c r="FT142" s="472"/>
      <c r="FU142" s="18"/>
      <c r="FV142" s="18"/>
      <c r="GA142" s="479"/>
      <c r="GB142" s="18"/>
      <c r="GC142" s="472"/>
      <c r="GD142" s="18"/>
      <c r="GE142" s="18"/>
      <c r="GJ142" s="479"/>
      <c r="GK142" s="18"/>
      <c r="GL142" s="472"/>
      <c r="GM142" s="18"/>
      <c r="GN142" s="18"/>
      <c r="HB142" s="482"/>
      <c r="HC142" s="18"/>
      <c r="HE142" s="18"/>
      <c r="HF142" s="18"/>
      <c r="HK142" s="482"/>
      <c r="HL142" s="18"/>
      <c r="HN142" s="18"/>
      <c r="HO142" s="18"/>
      <c r="HT142" s="18"/>
      <c r="HU142" s="474"/>
      <c r="HW142" s="18"/>
      <c r="HX142" s="18"/>
      <c r="HY142" s="18"/>
      <c r="IL142" s="479"/>
      <c r="IM142" s="18"/>
      <c r="IO142" s="18"/>
      <c r="IP142" s="18"/>
      <c r="IU142" s="482"/>
      <c r="IV142" s="18"/>
      <c r="IX142" s="18"/>
      <c r="IY142" s="18"/>
      <c r="JD142" s="351"/>
      <c r="JE142" s="18"/>
      <c r="JF142" s="472"/>
      <c r="JG142" s="18"/>
      <c r="JH142" s="18"/>
      <c r="JM142" s="479"/>
      <c r="JN142" s="476"/>
      <c r="JV142" s="479"/>
      <c r="JW142" s="476"/>
      <c r="JX142" s="477"/>
      <c r="JY142" s="476"/>
      <c r="JZ142" s="476"/>
      <c r="KE142" s="482"/>
      <c r="KF142" s="18"/>
      <c r="KH142" s="18"/>
      <c r="KI142" s="18"/>
      <c r="KN142" s="482"/>
      <c r="KO142" s="18"/>
      <c r="KW142" s="482"/>
      <c r="KX142" s="18"/>
      <c r="LF142" s="482"/>
      <c r="LG142" s="18"/>
      <c r="LH142" s="477"/>
      <c r="LI142" s="18"/>
      <c r="LJ142" s="18"/>
      <c r="LO142" s="479"/>
      <c r="LP142" s="476"/>
      <c r="LQ142" s="472"/>
      <c r="LR142" s="476"/>
      <c r="LS142" s="476"/>
      <c r="MG142" s="476"/>
      <c r="MH142" s="18"/>
      <c r="MI142" s="18"/>
      <c r="MJ142" s="479"/>
      <c r="ML142" s="18"/>
      <c r="MP142" s="482"/>
      <c r="MQ142" s="18"/>
      <c r="MR142" s="18"/>
      <c r="MS142" s="18"/>
      <c r="MT142" s="18"/>
      <c r="MY142" s="484"/>
      <c r="MZ142" s="3"/>
      <c r="NA142" s="487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2358</v>
      </c>
      <c r="BI143" s="18"/>
      <c r="BK143" s="50"/>
      <c r="BN143" s="49" t="s">
        <v>4625</v>
      </c>
      <c r="BO143" s="18"/>
      <c r="BP143" s="353"/>
      <c r="BQ143" s="173"/>
      <c r="BR143" s="18"/>
      <c r="BT143" s="50"/>
      <c r="BX143" s="479"/>
      <c r="BY143" s="18"/>
      <c r="BZ143" s="472"/>
      <c r="CA143" s="18"/>
      <c r="CF143" s="479"/>
      <c r="CG143" s="18"/>
      <c r="CH143" s="472"/>
      <c r="CI143" s="18"/>
      <c r="CJ143" s="18"/>
      <c r="CO143" s="479"/>
      <c r="CP143" s="18"/>
      <c r="CQ143" s="472"/>
      <c r="CR143" s="18"/>
      <c r="CS143" s="18"/>
      <c r="CX143" s="479"/>
      <c r="CY143" s="18"/>
      <c r="CZ143" s="472"/>
      <c r="DA143" s="18"/>
      <c r="DB143" s="18"/>
      <c r="DG143" s="479"/>
      <c r="DH143" s="18"/>
      <c r="DI143" s="472"/>
      <c r="DJ143" s="18"/>
      <c r="DK143" s="18"/>
      <c r="DP143" s="481"/>
      <c r="DQ143" s="1"/>
      <c r="DR143" s="473"/>
      <c r="DS143" s="1"/>
      <c r="DT143" s="1"/>
      <c r="DY143" s="479"/>
      <c r="DZ143" s="18"/>
      <c r="EA143" s="472"/>
      <c r="EB143" s="18"/>
      <c r="EC143" s="18"/>
      <c r="EH143" s="479"/>
      <c r="EI143" s="18"/>
      <c r="EJ143" s="472"/>
      <c r="EK143" s="18"/>
      <c r="EL143" s="18"/>
      <c r="EQ143" s="479"/>
      <c r="ER143" s="18"/>
      <c r="ES143" s="472"/>
      <c r="ET143" s="18"/>
      <c r="EU143" s="18"/>
      <c r="EZ143" s="479"/>
      <c r="FA143" s="18"/>
      <c r="FB143" s="472"/>
      <c r="FC143" s="18"/>
      <c r="FD143" s="18"/>
      <c r="FI143" s="479"/>
      <c r="FJ143" s="18"/>
      <c r="FK143" s="472"/>
      <c r="FL143" s="18"/>
      <c r="FM143" s="18"/>
      <c r="FR143" s="482"/>
      <c r="FS143" s="18"/>
      <c r="FT143" s="472"/>
      <c r="FU143" s="18"/>
      <c r="FV143" s="18"/>
      <c r="GA143" s="479"/>
      <c r="GB143" s="18"/>
      <c r="GC143" s="472"/>
      <c r="GD143" s="18"/>
      <c r="GE143" s="18"/>
      <c r="GJ143" s="479"/>
      <c r="GK143" s="18"/>
      <c r="GL143" s="472"/>
      <c r="GM143" s="18"/>
      <c r="GN143" s="18"/>
      <c r="HB143" s="482"/>
      <c r="HC143" s="18"/>
      <c r="HE143" s="18"/>
      <c r="HF143" s="18"/>
      <c r="HK143" s="482"/>
      <c r="HL143" s="18"/>
      <c r="HN143" s="18"/>
      <c r="HO143" s="18"/>
      <c r="HT143" s="18"/>
      <c r="HU143" s="474"/>
      <c r="HW143" s="18"/>
      <c r="HX143" s="18"/>
      <c r="HY143" s="18"/>
      <c r="IL143" s="479"/>
      <c r="IM143" s="18"/>
      <c r="IO143" s="18"/>
      <c r="IP143" s="18"/>
      <c r="IU143" s="482"/>
      <c r="IV143" s="18"/>
      <c r="IX143" s="18"/>
      <c r="IY143" s="18"/>
      <c r="JD143" s="479"/>
      <c r="JE143" s="18"/>
      <c r="JF143" s="472"/>
      <c r="JG143" s="18"/>
      <c r="JH143" s="18"/>
      <c r="JM143" s="479"/>
      <c r="JN143" s="476"/>
      <c r="JV143" s="479"/>
      <c r="JW143" s="476"/>
      <c r="JX143" s="477"/>
      <c r="JY143" s="476"/>
      <c r="JZ143" s="476"/>
      <c r="KE143" s="482"/>
      <c r="KF143" s="18"/>
      <c r="KH143" s="18"/>
      <c r="KI143" s="18"/>
      <c r="KN143" s="482"/>
      <c r="KO143" s="18"/>
      <c r="KW143" s="482"/>
      <c r="KX143" s="18"/>
      <c r="LF143" s="482"/>
      <c r="LG143" s="18"/>
      <c r="LH143" s="478"/>
      <c r="LI143" s="18"/>
      <c r="LJ143" s="18"/>
      <c r="LO143" s="479"/>
      <c r="LP143" s="476"/>
      <c r="LQ143" s="472"/>
      <c r="LR143" s="476"/>
      <c r="LS143" s="476"/>
      <c r="MG143" s="476"/>
      <c r="MH143" s="18"/>
      <c r="MI143" s="18"/>
      <c r="MJ143" s="479"/>
      <c r="ML143" s="18"/>
      <c r="MP143" s="482"/>
      <c r="MQ143" s="18"/>
      <c r="MR143" s="18"/>
      <c r="MS143" s="18"/>
      <c r="MT143" s="18"/>
      <c r="MY143" s="484"/>
      <c r="MZ143" s="63"/>
      <c r="NA143" s="480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1875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2363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4627</v>
      </c>
      <c r="BS144" s="60" t="s">
        <v>1407</v>
      </c>
      <c r="BT144" s="50"/>
      <c r="BX144" s="351"/>
      <c r="BY144" s="18"/>
      <c r="BZ144" s="472"/>
      <c r="CA144" s="18"/>
      <c r="CF144" s="351"/>
      <c r="CG144" s="18"/>
      <c r="CH144" s="472"/>
      <c r="CI144" s="18"/>
      <c r="CJ144" s="18"/>
      <c r="CO144" s="351"/>
      <c r="CP144" s="18"/>
      <c r="CQ144" s="472"/>
      <c r="CR144" s="18"/>
      <c r="CS144" s="18"/>
      <c r="CX144" s="351"/>
      <c r="CY144" s="18"/>
      <c r="CZ144" s="472"/>
      <c r="DA144" s="18"/>
      <c r="DB144" s="18"/>
      <c r="DG144" s="351"/>
      <c r="DH144" s="18"/>
      <c r="DI144" s="472"/>
      <c r="DJ144" s="18"/>
      <c r="DK144" s="18"/>
      <c r="DP144" s="381"/>
      <c r="DQ144" s="1"/>
      <c r="DR144" s="473"/>
      <c r="DS144" s="1"/>
      <c r="DT144" s="1"/>
      <c r="DY144" s="351"/>
      <c r="DZ144" s="18"/>
      <c r="EA144" s="472"/>
      <c r="EB144" s="18"/>
      <c r="EC144" s="18"/>
      <c r="EH144" s="351"/>
      <c r="EI144" s="18"/>
      <c r="EJ144" s="472"/>
      <c r="EK144" s="18"/>
      <c r="EL144" s="18"/>
      <c r="EQ144" s="351"/>
      <c r="ER144" s="18"/>
      <c r="ES144" s="472"/>
      <c r="ET144" s="18"/>
      <c r="EU144" s="18"/>
      <c r="EZ144" s="351"/>
      <c r="FA144" s="18"/>
      <c r="FB144" s="472"/>
      <c r="FC144" s="18"/>
      <c r="FD144" s="18"/>
      <c r="FI144" s="351"/>
      <c r="FJ144" s="18"/>
      <c r="FK144" s="472"/>
      <c r="FL144" s="18"/>
      <c r="FM144" s="18"/>
      <c r="FR144" s="351"/>
      <c r="FS144" s="18"/>
      <c r="FT144" s="472"/>
      <c r="FU144" s="18"/>
      <c r="FV144" s="18"/>
      <c r="GA144" s="351"/>
      <c r="GB144" s="18"/>
      <c r="GC144" s="472"/>
      <c r="GD144" s="18"/>
      <c r="GE144" s="18"/>
      <c r="GJ144" s="351"/>
      <c r="GK144" s="18"/>
      <c r="GL144" s="472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4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9"/>
      <c r="JE144" s="18"/>
      <c r="JF144" s="483"/>
      <c r="JG144" s="18"/>
      <c r="JH144" s="18"/>
      <c r="JM144" s="475"/>
      <c r="JN144" s="476"/>
      <c r="JV144" s="475"/>
      <c r="JW144" s="476"/>
      <c r="JX144" s="477"/>
      <c r="JY144" s="476"/>
      <c r="JZ144" s="476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7"/>
      <c r="LI144" s="18"/>
      <c r="LJ144" s="18"/>
      <c r="LO144" s="475"/>
      <c r="LP144" s="476"/>
      <c r="LQ144" s="472"/>
      <c r="LR144" s="476"/>
      <c r="LS144" s="476"/>
      <c r="MG144" s="476"/>
      <c r="MH144" s="18"/>
      <c r="MI144" s="18"/>
      <c r="MJ144" s="479"/>
      <c r="ML144" s="18"/>
      <c r="MP144" s="351"/>
      <c r="MQ144" s="18"/>
      <c r="MR144" s="18"/>
      <c r="MS144" s="18"/>
      <c r="MT144" s="18"/>
      <c r="MY144" s="60"/>
      <c r="MZ144" s="3"/>
      <c r="NA144" s="487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2358</v>
      </c>
      <c r="BI145" s="18"/>
      <c r="BJ145" s="89"/>
      <c r="BK145" s="50"/>
      <c r="BM145" s="89"/>
      <c r="BN145" s="49" t="s">
        <v>4625</v>
      </c>
      <c r="BO145" s="18"/>
      <c r="BP145" s="353"/>
      <c r="BQ145" s="173"/>
      <c r="BR145" s="18"/>
      <c r="BT145" s="50"/>
      <c r="BV145" s="89"/>
      <c r="BW145" s="89"/>
      <c r="BX145" s="351"/>
      <c r="BY145" s="18"/>
      <c r="BZ145" s="472"/>
      <c r="CA145" s="18"/>
      <c r="CC145" s="89"/>
      <c r="CD145" s="89"/>
      <c r="CE145" s="89"/>
      <c r="CF145" s="351"/>
      <c r="CG145" s="18"/>
      <c r="CH145" s="472"/>
      <c r="CI145" s="18"/>
      <c r="CJ145" s="18"/>
      <c r="CL145" s="89"/>
      <c r="CM145" s="89"/>
      <c r="CN145" s="89"/>
      <c r="CO145" s="351"/>
      <c r="CP145" s="18"/>
      <c r="CQ145" s="472"/>
      <c r="CR145" s="18"/>
      <c r="CS145" s="18"/>
      <c r="CU145" s="89"/>
      <c r="CV145" s="89"/>
      <c r="CW145" s="89"/>
      <c r="CX145" s="351"/>
      <c r="CY145" s="18"/>
      <c r="CZ145" s="472"/>
      <c r="DA145" s="18"/>
      <c r="DB145" s="18"/>
      <c r="DD145" s="89"/>
      <c r="DE145" s="89"/>
      <c r="DF145" s="89"/>
      <c r="DG145" s="351"/>
      <c r="DH145" s="18"/>
      <c r="DI145" s="472"/>
      <c r="DJ145" s="18"/>
      <c r="DK145" s="18"/>
      <c r="DM145" s="89"/>
      <c r="DN145" s="89"/>
      <c r="DO145" s="89"/>
      <c r="DP145" s="381"/>
      <c r="DQ145" s="1"/>
      <c r="DR145" s="473"/>
      <c r="DS145" s="1"/>
      <c r="DT145" s="1"/>
      <c r="DV145" s="89"/>
      <c r="DW145" s="89"/>
      <c r="DX145" s="89"/>
      <c r="DY145" s="351"/>
      <c r="DZ145" s="18"/>
      <c r="EA145" s="472"/>
      <c r="EB145" s="18"/>
      <c r="EC145" s="18"/>
      <c r="EE145" s="89"/>
      <c r="EF145" s="89"/>
      <c r="EG145" s="89"/>
      <c r="EH145" s="351"/>
      <c r="EI145" s="18"/>
      <c r="EJ145" s="472"/>
      <c r="EK145" s="18"/>
      <c r="EL145" s="18"/>
      <c r="EN145" s="89"/>
      <c r="EO145" s="89"/>
      <c r="EP145" s="89"/>
      <c r="EQ145" s="351"/>
      <c r="ER145" s="18"/>
      <c r="ES145" s="472"/>
      <c r="ET145" s="18"/>
      <c r="EU145" s="18"/>
      <c r="EW145" s="89"/>
      <c r="EX145" s="89"/>
      <c r="EY145" s="89"/>
      <c r="EZ145" s="351"/>
      <c r="FA145" s="18"/>
      <c r="FB145" s="472"/>
      <c r="FC145" s="18"/>
      <c r="FD145" s="18"/>
      <c r="FF145" s="89"/>
      <c r="FG145" s="89"/>
      <c r="FH145" s="89"/>
      <c r="FI145" s="351"/>
      <c r="FJ145" s="18"/>
      <c r="FK145" s="472"/>
      <c r="FL145" s="18"/>
      <c r="FM145" s="18"/>
      <c r="FO145" s="89"/>
      <c r="FP145" s="89"/>
      <c r="FQ145" s="89"/>
      <c r="FR145" s="351"/>
      <c r="FS145" s="18"/>
      <c r="FT145" s="472"/>
      <c r="FU145" s="18"/>
      <c r="FV145" s="18"/>
      <c r="FX145" s="89"/>
      <c r="FY145" s="89"/>
      <c r="FZ145" s="89"/>
      <c r="GA145" s="351"/>
      <c r="GB145" s="18"/>
      <c r="GC145" s="472"/>
      <c r="GD145" s="18"/>
      <c r="GE145" s="18"/>
      <c r="GG145" s="89"/>
      <c r="GH145" s="89"/>
      <c r="GI145" s="89"/>
      <c r="GJ145" s="351"/>
      <c r="GK145" s="18"/>
      <c r="GL145" s="472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4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2"/>
      <c r="JG145" s="18"/>
      <c r="JH145" s="18"/>
      <c r="JI145" s="89"/>
      <c r="JJ145" s="89"/>
      <c r="JK145" s="89"/>
      <c r="JL145" s="89"/>
      <c r="JM145" s="475"/>
      <c r="JN145" s="476"/>
      <c r="JP145" s="89"/>
      <c r="JQ145" s="89"/>
      <c r="JR145" s="89"/>
      <c r="JS145" s="89"/>
      <c r="JT145" s="89"/>
      <c r="JU145" s="89"/>
      <c r="JV145" s="475"/>
      <c r="JW145" s="476"/>
      <c r="JX145" s="477"/>
      <c r="JY145" s="476"/>
      <c r="JZ145" s="476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7"/>
      <c r="LI145" s="18"/>
      <c r="LJ145" s="18"/>
      <c r="LK145" s="89"/>
      <c r="LL145" s="89"/>
      <c r="LM145" s="89"/>
      <c r="LN145" s="89"/>
      <c r="LO145" s="475"/>
      <c r="LP145" s="476"/>
      <c r="LQ145" s="472"/>
      <c r="LR145" s="476"/>
      <c r="LS145" s="476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6"/>
      <c r="MH145" s="18"/>
      <c r="MI145" s="18"/>
      <c r="MJ145" s="479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7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1876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2364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4628</v>
      </c>
      <c r="BS146" s="60" t="s">
        <v>1408</v>
      </c>
      <c r="BT146" s="50"/>
      <c r="BX146" s="351"/>
      <c r="BY146" s="18"/>
      <c r="BZ146" s="472"/>
      <c r="CA146" s="18"/>
      <c r="CF146" s="351"/>
      <c r="CG146" s="18"/>
      <c r="CH146" s="472"/>
      <c r="CI146" s="18"/>
      <c r="CJ146" s="18"/>
      <c r="CO146" s="351"/>
      <c r="CP146" s="18"/>
      <c r="CQ146" s="472"/>
      <c r="CR146" s="18"/>
      <c r="CS146" s="18"/>
      <c r="CX146" s="351"/>
      <c r="CY146" s="18"/>
      <c r="CZ146" s="472"/>
      <c r="DA146" s="18"/>
      <c r="DB146" s="18"/>
      <c r="DG146" s="351"/>
      <c r="DH146" s="18"/>
      <c r="DI146" s="472"/>
      <c r="DJ146" s="18"/>
      <c r="DK146" s="18"/>
      <c r="DP146" s="381"/>
      <c r="DQ146" s="1"/>
      <c r="DR146" s="473"/>
      <c r="DS146" s="1"/>
      <c r="DT146" s="1"/>
      <c r="DY146" s="351"/>
      <c r="DZ146" s="18"/>
      <c r="EA146" s="472"/>
      <c r="EB146" s="18"/>
      <c r="EC146" s="18"/>
      <c r="EH146" s="351"/>
      <c r="EI146" s="18"/>
      <c r="EJ146" s="472"/>
      <c r="EK146" s="18"/>
      <c r="EL146" s="18"/>
      <c r="EQ146" s="351"/>
      <c r="ER146" s="18"/>
      <c r="ES146" s="472"/>
      <c r="ET146" s="18"/>
      <c r="EU146" s="18"/>
      <c r="EZ146" s="351"/>
      <c r="FA146" s="18"/>
      <c r="FB146" s="472"/>
      <c r="FC146" s="18"/>
      <c r="FD146" s="18"/>
      <c r="FI146" s="351"/>
      <c r="FJ146" s="18"/>
      <c r="FK146" s="472"/>
      <c r="FL146" s="18"/>
      <c r="FM146" s="18"/>
      <c r="FR146" s="351"/>
      <c r="FS146" s="18"/>
      <c r="FT146" s="472"/>
      <c r="FU146" s="18"/>
      <c r="FV146" s="18"/>
      <c r="GA146" s="351"/>
      <c r="GB146" s="18"/>
      <c r="GC146" s="472"/>
      <c r="GD146" s="18"/>
      <c r="GE146" s="18"/>
      <c r="GJ146" s="351"/>
      <c r="GK146" s="18"/>
      <c r="GL146" s="472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4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2"/>
      <c r="JG146" s="18"/>
      <c r="JH146" s="18"/>
      <c r="JM146" s="475"/>
      <c r="JN146" s="476"/>
      <c r="JV146" s="475"/>
      <c r="JW146" s="476"/>
      <c r="JX146" s="477"/>
      <c r="JY146" s="476"/>
      <c r="JZ146" s="476"/>
      <c r="KE146" s="351"/>
      <c r="KF146" s="18"/>
      <c r="KH146" s="18"/>
      <c r="KI146" s="18"/>
      <c r="KN146" s="351"/>
      <c r="KO146" s="18"/>
      <c r="KW146" s="351"/>
      <c r="KX146" s="18"/>
      <c r="LF146" s="482"/>
      <c r="LG146" s="18"/>
      <c r="LH146" s="478"/>
      <c r="LI146" s="18"/>
      <c r="LJ146" s="18"/>
      <c r="LO146" s="475"/>
      <c r="LP146" s="476"/>
      <c r="LQ146" s="472"/>
      <c r="LR146" s="476"/>
      <c r="LS146" s="476"/>
      <c r="MG146" s="476"/>
      <c r="MH146" s="18"/>
      <c r="MI146" s="18"/>
      <c r="MJ146" s="479"/>
      <c r="ML146" s="18"/>
      <c r="MP146" s="351"/>
      <c r="MQ146" s="18"/>
      <c r="MR146" s="18"/>
      <c r="MS146" s="18"/>
      <c r="MT146" s="18"/>
      <c r="MY146" s="484"/>
      <c r="MZ146" s="3"/>
      <c r="NA146" s="480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2358</v>
      </c>
      <c r="BI147" s="18"/>
      <c r="BJ147" s="89"/>
      <c r="BK147" s="50"/>
      <c r="BM147" s="89"/>
      <c r="BN147" s="49" t="s">
        <v>4625</v>
      </c>
      <c r="BO147" s="18"/>
      <c r="BP147" s="353"/>
      <c r="BQ147" s="173"/>
      <c r="BR147" s="18"/>
      <c r="BT147" s="50"/>
      <c r="BV147" s="89"/>
      <c r="BW147" s="89"/>
      <c r="BX147" s="479"/>
      <c r="BY147" s="18"/>
      <c r="BZ147" s="472"/>
      <c r="CA147" s="18"/>
      <c r="CC147" s="89"/>
      <c r="CD147" s="89"/>
      <c r="CE147" s="89"/>
      <c r="CF147" s="479"/>
      <c r="CG147" s="18"/>
      <c r="CH147" s="472"/>
      <c r="CI147" s="18"/>
      <c r="CJ147" s="18"/>
      <c r="CL147" s="89"/>
      <c r="CM147" s="89"/>
      <c r="CN147" s="89"/>
      <c r="CO147" s="479"/>
      <c r="CP147" s="18"/>
      <c r="CQ147" s="472"/>
      <c r="CR147" s="18"/>
      <c r="CS147" s="18"/>
      <c r="CU147" s="89"/>
      <c r="CV147" s="89"/>
      <c r="CW147" s="89"/>
      <c r="CX147" s="479"/>
      <c r="CY147" s="18"/>
      <c r="CZ147" s="472"/>
      <c r="DA147" s="18"/>
      <c r="DB147" s="18"/>
      <c r="DD147" s="89"/>
      <c r="DE147" s="89"/>
      <c r="DF147" s="89"/>
      <c r="DG147" s="479"/>
      <c r="DH147" s="18"/>
      <c r="DI147" s="472"/>
      <c r="DJ147" s="18"/>
      <c r="DK147" s="18"/>
      <c r="DM147" s="89"/>
      <c r="DN147" s="89"/>
      <c r="DO147" s="89"/>
      <c r="DP147" s="481"/>
      <c r="DQ147" s="1"/>
      <c r="DR147" s="473"/>
      <c r="DS147" s="1"/>
      <c r="DT147" s="1"/>
      <c r="DV147" s="89"/>
      <c r="DW147" s="89"/>
      <c r="DX147" s="89"/>
      <c r="DY147" s="479"/>
      <c r="DZ147" s="18"/>
      <c r="EA147" s="472"/>
      <c r="EB147" s="18"/>
      <c r="EC147" s="18"/>
      <c r="EE147" s="89"/>
      <c r="EF147" s="89"/>
      <c r="EG147" s="89"/>
      <c r="EH147" s="479"/>
      <c r="EI147" s="18"/>
      <c r="EJ147" s="472"/>
      <c r="EK147" s="18"/>
      <c r="EL147" s="18"/>
      <c r="EN147" s="89"/>
      <c r="EO147" s="89"/>
      <c r="EP147" s="89"/>
      <c r="EQ147" s="479"/>
      <c r="ER147" s="18"/>
      <c r="ES147" s="472"/>
      <c r="ET147" s="18"/>
      <c r="EU147" s="18"/>
      <c r="EW147" s="89"/>
      <c r="EX147" s="89"/>
      <c r="EY147" s="89"/>
      <c r="EZ147" s="479"/>
      <c r="FA147" s="18"/>
      <c r="FB147" s="472"/>
      <c r="FC147" s="18"/>
      <c r="FD147" s="18"/>
      <c r="FF147" s="89"/>
      <c r="FG147" s="89"/>
      <c r="FH147" s="89"/>
      <c r="FI147" s="479"/>
      <c r="FJ147" s="18"/>
      <c r="FK147" s="472"/>
      <c r="FL147" s="18"/>
      <c r="FM147" s="18"/>
      <c r="FO147" s="89"/>
      <c r="FP147" s="89"/>
      <c r="FQ147" s="89"/>
      <c r="FR147" s="482"/>
      <c r="FS147" s="18"/>
      <c r="FT147" s="472"/>
      <c r="FU147" s="18"/>
      <c r="FV147" s="18"/>
      <c r="FX147" s="89"/>
      <c r="FY147" s="89"/>
      <c r="FZ147" s="89"/>
      <c r="GA147" s="479"/>
      <c r="GB147" s="18"/>
      <c r="GC147" s="472"/>
      <c r="GD147" s="18"/>
      <c r="GE147" s="18"/>
      <c r="GG147" s="89"/>
      <c r="GH147" s="89"/>
      <c r="GI147" s="89"/>
      <c r="GJ147" s="479"/>
      <c r="GK147" s="18"/>
      <c r="GL147" s="472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2"/>
      <c r="HC147" s="18"/>
      <c r="HE147" s="18"/>
      <c r="HF147" s="18"/>
      <c r="HG147" s="89"/>
      <c r="HH147" s="89"/>
      <c r="HI147" s="89"/>
      <c r="HJ147" s="89"/>
      <c r="HK147" s="482"/>
      <c r="HL147" s="18"/>
      <c r="HN147" s="18"/>
      <c r="HO147" s="18"/>
      <c r="HP147" s="89"/>
      <c r="HQ147" s="89"/>
      <c r="HR147" s="89"/>
      <c r="HS147" s="89"/>
      <c r="HT147" s="18"/>
      <c r="HU147" s="474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9"/>
      <c r="IM147" s="18"/>
      <c r="IO147" s="18"/>
      <c r="IP147" s="18"/>
      <c r="IQ147" s="89"/>
      <c r="IR147" s="89"/>
      <c r="IS147" s="89"/>
      <c r="IT147" s="89"/>
      <c r="IU147" s="482"/>
      <c r="IV147" s="18"/>
      <c r="IX147" s="18"/>
      <c r="IY147" s="18"/>
      <c r="IZ147" s="89"/>
      <c r="JA147" s="89"/>
      <c r="JB147" s="89"/>
      <c r="JC147" s="89"/>
      <c r="JD147" s="479"/>
      <c r="JE147" s="18"/>
      <c r="JF147" s="483"/>
      <c r="JG147" s="18"/>
      <c r="JH147" s="18"/>
      <c r="JI147" s="89"/>
      <c r="JJ147" s="89"/>
      <c r="JK147" s="89"/>
      <c r="JL147" s="89"/>
      <c r="JM147" s="479"/>
      <c r="JN147" s="476"/>
      <c r="JP147" s="89"/>
      <c r="JQ147" s="89"/>
      <c r="JR147" s="89"/>
      <c r="JS147" s="89"/>
      <c r="JT147" s="89"/>
      <c r="JU147" s="89"/>
      <c r="JV147" s="479"/>
      <c r="JW147" s="476"/>
      <c r="JX147" s="477"/>
      <c r="JY147" s="476"/>
      <c r="JZ147" s="476"/>
      <c r="KB147" s="89"/>
      <c r="KC147" s="89"/>
      <c r="KD147" s="89"/>
      <c r="KE147" s="482"/>
      <c r="KF147" s="18"/>
      <c r="KH147" s="18"/>
      <c r="KI147" s="18"/>
      <c r="KJ147" s="89"/>
      <c r="KK147" s="89"/>
      <c r="KL147" s="89"/>
      <c r="KM147" s="89"/>
      <c r="KN147" s="482"/>
      <c r="KO147" s="18"/>
      <c r="KQ147" s="89"/>
      <c r="KR147" s="89"/>
      <c r="KS147" s="89"/>
      <c r="KT147" s="89"/>
      <c r="KU147" s="89"/>
      <c r="KV147" s="89"/>
      <c r="KW147" s="482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7"/>
      <c r="LI147" s="18"/>
      <c r="LJ147" s="18"/>
      <c r="LK147" s="89"/>
      <c r="LL147" s="89"/>
      <c r="LM147" s="89"/>
      <c r="LN147" s="89"/>
      <c r="LO147" s="479"/>
      <c r="LP147" s="476"/>
      <c r="LQ147" s="472"/>
      <c r="LR147" s="476"/>
      <c r="LS147" s="476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6"/>
      <c r="MH147" s="18"/>
      <c r="MI147" s="18"/>
      <c r="MJ147" s="479"/>
      <c r="ML147" s="18"/>
      <c r="MN147" s="89"/>
      <c r="MO147" s="89"/>
      <c r="MP147" s="482"/>
      <c r="MQ147" s="18"/>
      <c r="MR147" s="18"/>
      <c r="MS147" s="18"/>
      <c r="MT147" s="18"/>
      <c r="MW147" s="89"/>
      <c r="MX147" s="89"/>
      <c r="MY147" s="3"/>
      <c r="MZ147" s="3"/>
      <c r="NA147" s="487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1877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2365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4629</v>
      </c>
      <c r="BS148" s="60" t="s">
        <v>1409</v>
      </c>
      <c r="BT148" s="50"/>
      <c r="BX148" s="18"/>
      <c r="BY148" s="18"/>
      <c r="BZ148" s="472"/>
      <c r="CA148" s="18"/>
      <c r="CF148" s="18"/>
      <c r="CG148" s="18"/>
      <c r="CH148" s="472"/>
      <c r="CI148" s="18"/>
      <c r="CJ148" s="18"/>
      <c r="CO148" s="18"/>
      <c r="CP148" s="18"/>
      <c r="CQ148" s="472"/>
      <c r="CR148" s="18"/>
      <c r="CS148" s="18"/>
      <c r="CX148" s="18"/>
      <c r="CY148" s="18"/>
      <c r="CZ148" s="472"/>
      <c r="DA148" s="18"/>
      <c r="DB148" s="18"/>
      <c r="DG148" s="18"/>
      <c r="DH148" s="18"/>
      <c r="DI148" s="472"/>
      <c r="DJ148" s="18"/>
      <c r="DK148" s="18"/>
      <c r="DP148" s="1"/>
      <c r="DQ148" s="1"/>
      <c r="DR148" s="473"/>
      <c r="DS148" s="1"/>
      <c r="DT148" s="1"/>
      <c r="DY148" s="18"/>
      <c r="DZ148" s="18"/>
      <c r="EA148" s="472"/>
      <c r="EB148" s="18"/>
      <c r="EC148" s="18"/>
      <c r="EH148" s="18"/>
      <c r="EI148" s="18"/>
      <c r="EJ148" s="472"/>
      <c r="EK148" s="18"/>
      <c r="EL148" s="18"/>
      <c r="EQ148" s="18"/>
      <c r="ER148" s="18"/>
      <c r="ES148" s="472"/>
      <c r="ET148" s="18"/>
      <c r="EU148" s="18"/>
      <c r="EZ148" s="18"/>
      <c r="FA148" s="18"/>
      <c r="FB148" s="472"/>
      <c r="FC148" s="18"/>
      <c r="FD148" s="18"/>
      <c r="FI148" s="18"/>
      <c r="FJ148" s="18"/>
      <c r="FK148" s="472"/>
      <c r="FL148" s="18"/>
      <c r="FM148" s="18"/>
      <c r="FR148" s="18"/>
      <c r="FS148" s="18"/>
      <c r="FT148" s="472"/>
      <c r="FU148" s="18"/>
      <c r="FV148" s="18"/>
      <c r="GA148" s="18"/>
      <c r="GB148" s="18"/>
      <c r="GC148" s="472"/>
      <c r="GD148" s="18"/>
      <c r="GE148" s="18"/>
      <c r="GJ148" s="18"/>
      <c r="GK148" s="18"/>
      <c r="GL148" s="472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4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2"/>
      <c r="JG148" s="18"/>
      <c r="JH148" s="18"/>
      <c r="JM148" s="476"/>
      <c r="JN148" s="476"/>
      <c r="JV148" s="476"/>
      <c r="JW148" s="476"/>
      <c r="JX148" s="477"/>
      <c r="JY148" s="476"/>
      <c r="JZ148" s="476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7"/>
      <c r="LI148" s="18"/>
      <c r="LJ148" s="18"/>
      <c r="LO148" s="476"/>
      <c r="LP148" s="476"/>
      <c r="LQ148" s="472"/>
      <c r="LR148" s="476"/>
      <c r="LS148" s="476"/>
      <c r="MG148" s="476"/>
      <c r="MH148" s="18"/>
      <c r="MI148" s="18"/>
      <c r="MJ148" s="479"/>
      <c r="ML148" s="18"/>
      <c r="MP148" s="18"/>
      <c r="MQ148" s="18"/>
      <c r="MR148" s="18"/>
      <c r="MS148" s="18"/>
      <c r="MT148" s="18"/>
      <c r="MY148" s="3"/>
      <c r="MZ148" s="63"/>
      <c r="NA148" s="487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1950</v>
      </c>
      <c r="AX149" s="18"/>
      <c r="AY149" s="89"/>
      <c r="AZ149" s="18"/>
      <c r="BA149"/>
      <c r="BB149" s="50"/>
      <c r="BC149"/>
      <c r="BE149" s="49" t="s">
        <v>2358</v>
      </c>
      <c r="BI149" s="18"/>
      <c r="BK149" s="50"/>
      <c r="BN149" s="49" t="s">
        <v>4625</v>
      </c>
      <c r="BO149" s="18"/>
      <c r="BP149" s="353"/>
      <c r="BQ149" s="173"/>
      <c r="BR149" s="18"/>
      <c r="BT149" s="50"/>
      <c r="BX149" s="351"/>
      <c r="BY149" s="18"/>
      <c r="BZ149" s="472"/>
      <c r="CA149" s="18"/>
      <c r="CF149" s="351"/>
      <c r="CG149" s="18"/>
      <c r="CH149" s="472"/>
      <c r="CI149" s="18"/>
      <c r="CJ149" s="18"/>
      <c r="CO149" s="351"/>
      <c r="CP149" s="18"/>
      <c r="CQ149" s="472"/>
      <c r="CR149" s="18"/>
      <c r="CS149" s="18"/>
      <c r="CX149" s="351"/>
      <c r="CY149" s="18"/>
      <c r="CZ149" s="472"/>
      <c r="DA149" s="18"/>
      <c r="DB149" s="18"/>
      <c r="DG149" s="351"/>
      <c r="DH149" s="18"/>
      <c r="DI149" s="472"/>
      <c r="DJ149" s="18"/>
      <c r="DK149" s="18"/>
      <c r="DP149" s="381"/>
      <c r="DQ149" s="1"/>
      <c r="DR149" s="473"/>
      <c r="DS149" s="1"/>
      <c r="DT149" s="1"/>
      <c r="DY149" s="351"/>
      <c r="DZ149" s="18"/>
      <c r="EA149" s="472"/>
      <c r="EB149" s="18"/>
      <c r="EC149" s="18"/>
      <c r="EH149" s="351"/>
      <c r="EI149" s="18"/>
      <c r="EJ149" s="472"/>
      <c r="EK149" s="18"/>
      <c r="EL149" s="18"/>
      <c r="EQ149" s="351"/>
      <c r="ER149" s="18"/>
      <c r="ES149" s="472"/>
      <c r="ET149" s="18"/>
      <c r="EU149" s="18"/>
      <c r="EZ149" s="351"/>
      <c r="FA149" s="18"/>
      <c r="FB149" s="472"/>
      <c r="FC149" s="18"/>
      <c r="FD149" s="18"/>
      <c r="FI149" s="351"/>
      <c r="FJ149" s="18"/>
      <c r="FK149" s="472"/>
      <c r="FL149" s="18"/>
      <c r="FM149" s="18"/>
      <c r="FR149" s="351"/>
      <c r="FS149" s="18"/>
      <c r="FT149" s="472"/>
      <c r="FU149" s="18"/>
      <c r="FV149" s="18"/>
      <c r="GA149" s="351"/>
      <c r="GB149" s="18"/>
      <c r="GC149" s="472"/>
      <c r="GD149" s="18"/>
      <c r="GE149" s="18"/>
      <c r="GJ149" s="351"/>
      <c r="GK149" s="18"/>
      <c r="GL149" s="472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4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2"/>
      <c r="JG149" s="18"/>
      <c r="JH149" s="18"/>
      <c r="JM149" s="475"/>
      <c r="JN149" s="476"/>
      <c r="JV149" s="475"/>
      <c r="JW149" s="476"/>
      <c r="JX149" s="477"/>
      <c r="JY149" s="476"/>
      <c r="JZ149" s="476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8"/>
      <c r="LI149" s="18"/>
      <c r="LJ149" s="18"/>
      <c r="LO149" s="475"/>
      <c r="LP149" s="476"/>
      <c r="LQ149" s="472"/>
      <c r="LR149" s="476"/>
      <c r="LS149" s="476"/>
      <c r="MG149" s="476"/>
      <c r="MH149" s="18"/>
      <c r="MI149" s="18"/>
      <c r="MJ149" s="479"/>
      <c r="ML149" s="18"/>
      <c r="MP149" s="351"/>
      <c r="MQ149" s="18"/>
      <c r="MR149" s="18"/>
      <c r="MS149" s="18"/>
      <c r="MT149" s="18"/>
      <c r="MY149" s="60"/>
      <c r="MZ149" s="3"/>
      <c r="NA149" s="480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1878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2366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4630</v>
      </c>
      <c r="BS150" s="60" t="s">
        <v>1410</v>
      </c>
      <c r="BT150" s="50"/>
      <c r="BX150" s="18"/>
      <c r="BY150" s="18"/>
      <c r="BZ150" s="472"/>
      <c r="CA150" s="18"/>
      <c r="CF150" s="18"/>
      <c r="CG150" s="18"/>
      <c r="CH150" s="472"/>
      <c r="CI150" s="18"/>
      <c r="CJ150" s="18"/>
      <c r="CO150" s="18"/>
      <c r="CP150" s="18"/>
      <c r="CQ150" s="472"/>
      <c r="CR150" s="18"/>
      <c r="CS150" s="18"/>
      <c r="CX150" s="18"/>
      <c r="CY150" s="18"/>
      <c r="CZ150" s="472"/>
      <c r="DA150" s="18"/>
      <c r="DB150" s="18"/>
      <c r="DG150" s="18"/>
      <c r="DH150" s="18"/>
      <c r="DI150" s="472"/>
      <c r="DJ150" s="18"/>
      <c r="DK150" s="18"/>
      <c r="DP150" s="1"/>
      <c r="DQ150" s="1"/>
      <c r="DR150" s="473"/>
      <c r="DS150" s="1"/>
      <c r="DT150" s="1"/>
      <c r="DY150" s="18"/>
      <c r="DZ150" s="18"/>
      <c r="EA150" s="472"/>
      <c r="EB150" s="18"/>
      <c r="EC150" s="18"/>
      <c r="EH150" s="18"/>
      <c r="EI150" s="18"/>
      <c r="EJ150" s="472"/>
      <c r="EK150" s="18"/>
      <c r="EL150" s="18"/>
      <c r="EQ150" s="18"/>
      <c r="ER150" s="18"/>
      <c r="ES150" s="472"/>
      <c r="ET150" s="18"/>
      <c r="EU150" s="18"/>
      <c r="EZ150" s="18"/>
      <c r="FA150" s="18"/>
      <c r="FB150" s="472"/>
      <c r="FC150" s="18"/>
      <c r="FD150" s="18"/>
      <c r="FI150" s="18"/>
      <c r="FJ150" s="18"/>
      <c r="FK150" s="472"/>
      <c r="FL150" s="18"/>
      <c r="FM150" s="18"/>
      <c r="FR150" s="18"/>
      <c r="FS150" s="18"/>
      <c r="FT150" s="472"/>
      <c r="FU150" s="18"/>
      <c r="FV150" s="18"/>
      <c r="GA150" s="18"/>
      <c r="GB150" s="18"/>
      <c r="GC150" s="472"/>
      <c r="GD150" s="18"/>
      <c r="GE150" s="18"/>
      <c r="GJ150" s="18"/>
      <c r="GK150" s="18"/>
      <c r="GL150" s="472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4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3"/>
      <c r="JG150" s="18"/>
      <c r="JH150" s="18"/>
      <c r="JM150" s="476"/>
      <c r="JN150" s="476"/>
      <c r="JV150" s="476"/>
      <c r="JW150" s="476"/>
      <c r="JX150" s="477"/>
      <c r="JY150" s="476"/>
      <c r="JZ150" s="476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7"/>
      <c r="LI150" s="18"/>
      <c r="LJ150" s="18"/>
      <c r="LO150" s="476"/>
      <c r="LP150" s="476"/>
      <c r="LQ150" s="472"/>
      <c r="LR150" s="476"/>
      <c r="LS150" s="476"/>
      <c r="MG150" s="476"/>
      <c r="MH150" s="18"/>
      <c r="MI150" s="18"/>
      <c r="MJ150" s="479"/>
      <c r="ML150" s="18"/>
      <c r="MP150" s="18"/>
      <c r="MQ150" s="18"/>
      <c r="MR150" s="18"/>
      <c r="MS150" s="18"/>
      <c r="MT150" s="18"/>
      <c r="MY150" s="60"/>
      <c r="MZ150" s="3"/>
      <c r="NA150" s="487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3122</v>
      </c>
      <c r="BI151" s="18"/>
      <c r="BJ151" s="89"/>
      <c r="BK151" s="50"/>
      <c r="BM151" s="89"/>
      <c r="BN151" s="49" t="s">
        <v>4625</v>
      </c>
      <c r="BO151" s="18"/>
      <c r="BP151" s="353"/>
      <c r="BQ151" s="173"/>
      <c r="BR151" s="18"/>
      <c r="BT151" s="50"/>
      <c r="BV151" s="89"/>
      <c r="BW151" s="89"/>
      <c r="BX151" s="351"/>
      <c r="BY151" s="18"/>
      <c r="BZ151" s="472"/>
      <c r="CA151" s="18"/>
      <c r="CC151" s="89"/>
      <c r="CD151" s="89"/>
      <c r="CE151" s="89"/>
      <c r="CF151" s="351"/>
      <c r="CG151" s="18"/>
      <c r="CH151" s="472"/>
      <c r="CI151" s="18"/>
      <c r="CJ151" s="18"/>
      <c r="CL151" s="89"/>
      <c r="CM151" s="89"/>
      <c r="CN151" s="89"/>
      <c r="CO151" s="351"/>
      <c r="CP151" s="18"/>
      <c r="CQ151" s="472"/>
      <c r="CR151" s="18"/>
      <c r="CS151" s="18"/>
      <c r="CU151" s="89"/>
      <c r="CV151" s="89"/>
      <c r="CW151" s="89"/>
      <c r="CX151" s="351"/>
      <c r="CY151" s="18"/>
      <c r="CZ151" s="472"/>
      <c r="DA151" s="18"/>
      <c r="DB151" s="18"/>
      <c r="DD151" s="89"/>
      <c r="DE151" s="89"/>
      <c r="DF151" s="89"/>
      <c r="DG151" s="351"/>
      <c r="DH151" s="18"/>
      <c r="DI151" s="472"/>
      <c r="DJ151" s="18"/>
      <c r="DK151" s="18"/>
      <c r="DM151" s="89"/>
      <c r="DN151" s="89"/>
      <c r="DO151" s="89"/>
      <c r="DP151" s="381"/>
      <c r="DQ151" s="1"/>
      <c r="DR151" s="473"/>
      <c r="DS151" s="1"/>
      <c r="DT151" s="1"/>
      <c r="DV151" s="89"/>
      <c r="DW151" s="89"/>
      <c r="DX151" s="89"/>
      <c r="DY151" s="351"/>
      <c r="DZ151" s="18"/>
      <c r="EA151" s="472"/>
      <c r="EB151" s="18"/>
      <c r="EC151" s="18"/>
      <c r="EE151" s="89"/>
      <c r="EF151" s="89"/>
      <c r="EG151" s="89"/>
      <c r="EH151" s="351"/>
      <c r="EI151" s="18"/>
      <c r="EJ151" s="472"/>
      <c r="EK151" s="18"/>
      <c r="EL151" s="18"/>
      <c r="EN151" s="89"/>
      <c r="EO151" s="89"/>
      <c r="EP151" s="89"/>
      <c r="EQ151" s="351"/>
      <c r="ER151" s="18"/>
      <c r="ES151" s="472"/>
      <c r="ET151" s="18"/>
      <c r="EU151" s="18"/>
      <c r="EW151" s="89"/>
      <c r="EX151" s="89"/>
      <c r="EY151" s="89"/>
      <c r="EZ151" s="351"/>
      <c r="FA151" s="18"/>
      <c r="FB151" s="472"/>
      <c r="FC151" s="18"/>
      <c r="FD151" s="18"/>
      <c r="FF151" s="89"/>
      <c r="FG151" s="89"/>
      <c r="FH151" s="89"/>
      <c r="FI151" s="351"/>
      <c r="FJ151" s="18"/>
      <c r="FK151" s="472"/>
      <c r="FL151" s="18"/>
      <c r="FM151" s="18"/>
      <c r="FO151" s="89"/>
      <c r="FP151" s="89"/>
      <c r="FQ151" s="89"/>
      <c r="FR151" s="351"/>
      <c r="FS151" s="18"/>
      <c r="FT151" s="472"/>
      <c r="FU151" s="18"/>
      <c r="FV151" s="18"/>
      <c r="FX151" s="89"/>
      <c r="FY151" s="89"/>
      <c r="FZ151" s="89"/>
      <c r="GA151" s="351"/>
      <c r="GB151" s="18"/>
      <c r="GC151" s="472"/>
      <c r="GD151" s="18"/>
      <c r="GE151" s="18"/>
      <c r="GG151" s="89"/>
      <c r="GH151" s="89"/>
      <c r="GI151" s="89"/>
      <c r="GJ151" s="351"/>
      <c r="GK151" s="18"/>
      <c r="GL151" s="472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4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2"/>
      <c r="JG151" s="18"/>
      <c r="JH151" s="18"/>
      <c r="JI151" s="89"/>
      <c r="JJ151" s="89"/>
      <c r="JK151" s="89"/>
      <c r="JL151" s="89"/>
      <c r="JM151" s="475"/>
      <c r="JN151" s="476"/>
      <c r="JP151" s="89"/>
      <c r="JQ151" s="89"/>
      <c r="JR151" s="89"/>
      <c r="JS151" s="89"/>
      <c r="JT151" s="89"/>
      <c r="JU151" s="89"/>
      <c r="JV151" s="475"/>
      <c r="JW151" s="476"/>
      <c r="JX151" s="477"/>
      <c r="JY151" s="476"/>
      <c r="JZ151" s="476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7"/>
      <c r="LI151" s="18"/>
      <c r="LJ151" s="18"/>
      <c r="LK151" s="89"/>
      <c r="LL151" s="89"/>
      <c r="LM151" s="89"/>
      <c r="LN151" s="89"/>
      <c r="LO151" s="475"/>
      <c r="LP151" s="476"/>
      <c r="LQ151" s="472"/>
      <c r="LR151" s="476"/>
      <c r="LS151" s="476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6"/>
      <c r="MH151" s="18"/>
      <c r="MI151" s="18"/>
      <c r="MJ151" s="479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7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1879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2367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4631</v>
      </c>
      <c r="BS152" s="60" t="s">
        <v>1411</v>
      </c>
      <c r="BT152" s="50"/>
      <c r="BX152" s="18"/>
      <c r="BY152" s="18"/>
      <c r="BZ152" s="472"/>
      <c r="CA152" s="18"/>
      <c r="CF152" s="18"/>
      <c r="CG152" s="18"/>
      <c r="CH152" s="472"/>
      <c r="CI152" s="18"/>
      <c r="CJ152" s="18"/>
      <c r="CO152" s="18"/>
      <c r="CP152" s="18"/>
      <c r="CQ152" s="472"/>
      <c r="CR152" s="18"/>
      <c r="CS152" s="18"/>
      <c r="CX152" s="18"/>
      <c r="CY152" s="18"/>
      <c r="CZ152" s="472"/>
      <c r="DA152" s="18"/>
      <c r="DB152" s="18"/>
      <c r="DG152" s="18"/>
      <c r="DH152" s="18"/>
      <c r="DI152" s="472"/>
      <c r="DJ152" s="18"/>
      <c r="DK152" s="18"/>
      <c r="DP152" s="1"/>
      <c r="DQ152" s="1"/>
      <c r="DR152" s="473"/>
      <c r="DS152" s="1"/>
      <c r="DT152" s="1"/>
      <c r="DY152" s="18"/>
      <c r="DZ152" s="18"/>
      <c r="EA152" s="472"/>
      <c r="EB152" s="18"/>
      <c r="EC152" s="18"/>
      <c r="EH152" s="18"/>
      <c r="EI152" s="18"/>
      <c r="EJ152" s="472"/>
      <c r="EK152" s="18"/>
      <c r="EL152" s="18"/>
      <c r="EQ152" s="18"/>
      <c r="ER152" s="18"/>
      <c r="ES152" s="472"/>
      <c r="ET152" s="18"/>
      <c r="EU152" s="18"/>
      <c r="EZ152" s="18"/>
      <c r="FA152" s="18"/>
      <c r="FB152" s="472"/>
      <c r="FC152" s="18"/>
      <c r="FD152" s="18"/>
      <c r="FI152" s="18"/>
      <c r="FJ152" s="18"/>
      <c r="FK152" s="472"/>
      <c r="FL152" s="18"/>
      <c r="FM152" s="18"/>
      <c r="FR152" s="18"/>
      <c r="FS152" s="18"/>
      <c r="FT152" s="472"/>
      <c r="FU152" s="18"/>
      <c r="FV152" s="18"/>
      <c r="GA152" s="18"/>
      <c r="GB152" s="18"/>
      <c r="GC152" s="472"/>
      <c r="GD152" s="18"/>
      <c r="GE152" s="18"/>
      <c r="GJ152" s="18"/>
      <c r="GK152" s="18"/>
      <c r="GL152" s="472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4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2"/>
      <c r="JG152" s="18"/>
      <c r="JH152" s="18"/>
      <c r="JM152" s="476"/>
      <c r="JN152" s="476"/>
      <c r="JV152" s="476"/>
      <c r="JW152" s="476"/>
      <c r="JX152" s="477"/>
      <c r="JY152" s="476"/>
      <c r="JZ152" s="476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7"/>
      <c r="LI152" s="18"/>
      <c r="LJ152" s="18"/>
      <c r="LO152" s="476"/>
      <c r="LP152" s="476"/>
      <c r="LQ152" s="472"/>
      <c r="LR152" s="476"/>
      <c r="LS152" s="476"/>
      <c r="MG152" s="476"/>
      <c r="MH152" s="18"/>
      <c r="MI152" s="18"/>
      <c r="MJ152" s="479"/>
      <c r="ML152" s="18"/>
      <c r="MP152" s="18"/>
      <c r="MQ152" s="18"/>
      <c r="MR152" s="18"/>
      <c r="MS152" s="18"/>
      <c r="MT152" s="18"/>
      <c r="MY152" s="60"/>
      <c r="MZ152" s="3"/>
      <c r="NA152" s="487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2358</v>
      </c>
      <c r="BI153" s="18"/>
      <c r="BJ153" s="89"/>
      <c r="BK153" s="50"/>
      <c r="BM153" s="89"/>
      <c r="BN153" s="49" t="s">
        <v>4625</v>
      </c>
      <c r="BO153" s="18"/>
      <c r="BP153" s="353"/>
      <c r="BQ153" s="173"/>
      <c r="BR153" s="18"/>
      <c r="BT153" s="50"/>
      <c r="BV153" s="89"/>
      <c r="BW153" s="89"/>
      <c r="BX153" s="351"/>
      <c r="BY153" s="18"/>
      <c r="BZ153" s="472"/>
      <c r="CA153" s="18"/>
      <c r="CC153" s="89"/>
      <c r="CD153" s="89"/>
      <c r="CE153" s="89"/>
      <c r="CF153" s="351"/>
      <c r="CG153" s="18"/>
      <c r="CH153" s="472"/>
      <c r="CI153" s="18"/>
      <c r="CJ153" s="18"/>
      <c r="CL153" s="89"/>
      <c r="CM153" s="89"/>
      <c r="CN153" s="89"/>
      <c r="CO153" s="351"/>
      <c r="CP153" s="18"/>
      <c r="CQ153" s="472"/>
      <c r="CR153" s="18"/>
      <c r="CS153" s="18"/>
      <c r="CU153" s="89"/>
      <c r="CV153" s="89"/>
      <c r="CW153" s="89"/>
      <c r="CX153" s="351"/>
      <c r="CY153" s="18"/>
      <c r="CZ153" s="472"/>
      <c r="DA153" s="18"/>
      <c r="DB153" s="18"/>
      <c r="DD153" s="89"/>
      <c r="DE153" s="89"/>
      <c r="DF153" s="89"/>
      <c r="DG153" s="351"/>
      <c r="DH153" s="18"/>
      <c r="DI153" s="472"/>
      <c r="DJ153" s="18"/>
      <c r="DK153" s="18"/>
      <c r="DM153" s="89"/>
      <c r="DN153" s="89"/>
      <c r="DO153" s="89"/>
      <c r="DP153" s="381"/>
      <c r="DQ153" s="1"/>
      <c r="DR153" s="473"/>
      <c r="DS153" s="1"/>
      <c r="DT153" s="1"/>
      <c r="DV153" s="89"/>
      <c r="DW153" s="89"/>
      <c r="DX153" s="89"/>
      <c r="DY153" s="351"/>
      <c r="DZ153" s="18"/>
      <c r="EA153" s="472"/>
      <c r="EB153" s="18"/>
      <c r="EC153" s="18"/>
      <c r="EE153" s="89"/>
      <c r="EF153" s="89"/>
      <c r="EG153" s="89"/>
      <c r="EH153" s="351"/>
      <c r="EI153" s="18"/>
      <c r="EJ153" s="472"/>
      <c r="EK153" s="18"/>
      <c r="EL153" s="18"/>
      <c r="EN153" s="89"/>
      <c r="EO153" s="89"/>
      <c r="EP153" s="89"/>
      <c r="EQ153" s="351"/>
      <c r="ER153" s="18"/>
      <c r="ES153" s="472"/>
      <c r="ET153" s="18"/>
      <c r="EU153" s="18"/>
      <c r="EW153" s="89"/>
      <c r="EX153" s="89"/>
      <c r="EY153" s="89"/>
      <c r="EZ153" s="351"/>
      <c r="FA153" s="18"/>
      <c r="FB153" s="472"/>
      <c r="FC153" s="18"/>
      <c r="FD153" s="18"/>
      <c r="FF153" s="89"/>
      <c r="FG153" s="89"/>
      <c r="FH153" s="89"/>
      <c r="FI153" s="351"/>
      <c r="FJ153" s="18"/>
      <c r="FK153" s="472"/>
      <c r="FL153" s="18"/>
      <c r="FM153" s="18"/>
      <c r="FO153" s="89"/>
      <c r="FP153" s="89"/>
      <c r="FQ153" s="89"/>
      <c r="FR153" s="351"/>
      <c r="FS153" s="18"/>
      <c r="FT153" s="472"/>
      <c r="FU153" s="18"/>
      <c r="FV153" s="18"/>
      <c r="FX153" s="89"/>
      <c r="FY153" s="89"/>
      <c r="FZ153" s="89"/>
      <c r="GA153" s="351"/>
      <c r="GB153" s="18"/>
      <c r="GC153" s="472"/>
      <c r="GD153" s="18"/>
      <c r="GE153" s="18"/>
      <c r="GG153" s="89"/>
      <c r="GH153" s="89"/>
      <c r="GI153" s="89"/>
      <c r="GJ153" s="351"/>
      <c r="GK153" s="18"/>
      <c r="GL153" s="472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4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2"/>
      <c r="JG153" s="18"/>
      <c r="JH153" s="18"/>
      <c r="JI153" s="89"/>
      <c r="JJ153" s="89"/>
      <c r="JK153" s="89"/>
      <c r="JL153" s="89"/>
      <c r="JM153" s="475"/>
      <c r="JN153" s="476"/>
      <c r="JP153" s="89"/>
      <c r="JQ153" s="89"/>
      <c r="JR153" s="89"/>
      <c r="JS153" s="89"/>
      <c r="JT153" s="89"/>
      <c r="JU153" s="89"/>
      <c r="JV153" s="475"/>
      <c r="JW153" s="476"/>
      <c r="JX153" s="477"/>
      <c r="JY153" s="476"/>
      <c r="JZ153" s="476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8"/>
      <c r="LI153" s="18"/>
      <c r="LJ153" s="18"/>
      <c r="LK153" s="89"/>
      <c r="LL153" s="89"/>
      <c r="LM153" s="89"/>
      <c r="LN153" s="89"/>
      <c r="LO153" s="475"/>
      <c r="LP153" s="476"/>
      <c r="LQ153" s="472"/>
      <c r="LR153" s="476"/>
      <c r="LS153" s="476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6"/>
      <c r="MH153" s="18"/>
      <c r="MI153" s="18"/>
      <c r="MJ153" s="479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80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1880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2368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4632</v>
      </c>
      <c r="BS154" t="s">
        <v>1412</v>
      </c>
      <c r="BT154" s="50"/>
      <c r="BX154" s="18"/>
      <c r="BY154" s="18"/>
      <c r="BZ154" s="472"/>
      <c r="CA154" s="18"/>
      <c r="CF154" s="18"/>
      <c r="CG154" s="18"/>
      <c r="CH154" s="472"/>
      <c r="CI154" s="18"/>
      <c r="CJ154" s="18"/>
      <c r="CO154" s="18"/>
      <c r="CP154" s="18"/>
      <c r="CQ154" s="472"/>
      <c r="CR154" s="18"/>
      <c r="CS154" s="18"/>
      <c r="CX154" s="18"/>
      <c r="CY154" s="18"/>
      <c r="CZ154" s="472"/>
      <c r="DA154" s="18"/>
      <c r="DB154" s="18"/>
      <c r="DG154" s="18"/>
      <c r="DH154" s="18"/>
      <c r="DI154" s="472"/>
      <c r="DJ154" s="18"/>
      <c r="DK154" s="18"/>
      <c r="DP154" s="1"/>
      <c r="DQ154" s="1"/>
      <c r="DR154" s="473"/>
      <c r="DS154" s="1"/>
      <c r="DT154" s="1"/>
      <c r="DY154" s="18"/>
      <c r="DZ154" s="18"/>
      <c r="EA154" s="472"/>
      <c r="EB154" s="18"/>
      <c r="EC154" s="18"/>
      <c r="EH154" s="18"/>
      <c r="EI154" s="18"/>
      <c r="EJ154" s="472"/>
      <c r="EK154" s="18"/>
      <c r="EL154" s="18"/>
      <c r="EQ154" s="18"/>
      <c r="ER154" s="18"/>
      <c r="ES154" s="472"/>
      <c r="ET154" s="18"/>
      <c r="EU154" s="18"/>
      <c r="EZ154" s="18"/>
      <c r="FA154" s="18"/>
      <c r="FB154" s="472"/>
      <c r="FC154" s="18"/>
      <c r="FD154" s="18"/>
      <c r="FI154" s="18"/>
      <c r="FJ154" s="18"/>
      <c r="FK154" s="472"/>
      <c r="FL154" s="18"/>
      <c r="FM154" s="18"/>
      <c r="FR154" s="18"/>
      <c r="FS154" s="18"/>
      <c r="FT154" s="472"/>
      <c r="FU154" s="18"/>
      <c r="FV154" s="18"/>
      <c r="GA154" s="18"/>
      <c r="GB154" s="18"/>
      <c r="GC154" s="472"/>
      <c r="GD154" s="18"/>
      <c r="GE154" s="18"/>
      <c r="GJ154" s="18"/>
      <c r="GK154" s="18"/>
      <c r="GL154" s="472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4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3"/>
      <c r="JG154" s="18"/>
      <c r="JH154" s="18"/>
      <c r="JM154" s="476"/>
      <c r="JN154" s="476"/>
      <c r="JV154" s="476"/>
      <c r="JW154" s="476"/>
      <c r="JX154" s="477"/>
      <c r="JY154" s="476"/>
      <c r="JZ154" s="476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7"/>
      <c r="LI154" s="18"/>
      <c r="LJ154" s="18"/>
      <c r="LO154" s="476"/>
      <c r="LP154" s="476"/>
      <c r="LQ154" s="472"/>
      <c r="LR154" s="476"/>
      <c r="LS154" s="476"/>
      <c r="MG154" s="476"/>
      <c r="MH154" s="18"/>
      <c r="MI154" s="18"/>
      <c r="MJ154" s="479"/>
      <c r="ML154" s="18"/>
      <c r="MP154" s="18"/>
      <c r="MQ154" s="18"/>
      <c r="MR154" s="18"/>
      <c r="MS154" s="18"/>
      <c r="MT154" s="18"/>
      <c r="MY154" s="60"/>
      <c r="MZ154" s="3"/>
      <c r="NA154" s="487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3122</v>
      </c>
      <c r="BI155" s="18"/>
      <c r="BK155" s="50"/>
      <c r="BN155" s="49" t="s">
        <v>4625</v>
      </c>
      <c r="BO155" s="18"/>
      <c r="BP155" s="353"/>
      <c r="BQ155" s="173"/>
      <c r="BR155" s="18"/>
      <c r="BT155" s="50"/>
      <c r="BX155" s="351"/>
      <c r="BY155" s="18"/>
      <c r="BZ155" s="472"/>
      <c r="CA155" s="18"/>
      <c r="CF155" s="351"/>
      <c r="CG155" s="18"/>
      <c r="CH155" s="472"/>
      <c r="CI155" s="18"/>
      <c r="CJ155" s="18"/>
      <c r="CO155" s="351"/>
      <c r="CP155" s="18"/>
      <c r="CQ155" s="472"/>
      <c r="CR155" s="18"/>
      <c r="CS155" s="18"/>
      <c r="CX155" s="351"/>
      <c r="CY155" s="18"/>
      <c r="CZ155" s="472"/>
      <c r="DA155" s="18"/>
      <c r="DB155" s="18"/>
      <c r="DG155" s="351"/>
      <c r="DH155" s="18"/>
      <c r="DI155" s="472"/>
      <c r="DJ155" s="18"/>
      <c r="DK155" s="18"/>
      <c r="DP155" s="381"/>
      <c r="DQ155" s="1"/>
      <c r="DR155" s="473"/>
      <c r="DS155" s="1"/>
      <c r="DT155" s="1"/>
      <c r="DY155" s="351"/>
      <c r="DZ155" s="18"/>
      <c r="EA155" s="472"/>
      <c r="EB155" s="18"/>
      <c r="EC155" s="18"/>
      <c r="EH155" s="351"/>
      <c r="EI155" s="18"/>
      <c r="EJ155" s="472"/>
      <c r="EK155" s="18"/>
      <c r="EL155" s="18"/>
      <c r="EQ155" s="351"/>
      <c r="ER155" s="18"/>
      <c r="ES155" s="472"/>
      <c r="ET155" s="18"/>
      <c r="EU155" s="18"/>
      <c r="EZ155" s="351"/>
      <c r="FA155" s="18"/>
      <c r="FB155" s="472"/>
      <c r="FC155" s="18"/>
      <c r="FD155" s="18"/>
      <c r="FI155" s="351"/>
      <c r="FJ155" s="18"/>
      <c r="FK155" s="472"/>
      <c r="FL155" s="18"/>
      <c r="FM155" s="18"/>
      <c r="FR155" s="351"/>
      <c r="FS155" s="18"/>
      <c r="FT155" s="472"/>
      <c r="FU155" s="18"/>
      <c r="FV155" s="18"/>
      <c r="GA155" s="351"/>
      <c r="GB155" s="18"/>
      <c r="GC155" s="472"/>
      <c r="GD155" s="18"/>
      <c r="GE155" s="18"/>
      <c r="GJ155" s="351"/>
      <c r="GK155" s="18"/>
      <c r="GL155" s="472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4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2"/>
      <c r="JG155" s="18"/>
      <c r="JH155" s="18"/>
      <c r="JM155" s="475"/>
      <c r="JN155" s="476"/>
      <c r="JV155" s="475"/>
      <c r="JW155" s="476"/>
      <c r="JX155" s="477"/>
      <c r="JY155" s="476"/>
      <c r="JZ155" s="476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8"/>
      <c r="LI155" s="18"/>
      <c r="LJ155" s="18"/>
      <c r="LO155" s="475"/>
      <c r="LP155" s="476"/>
      <c r="LQ155" s="472"/>
      <c r="LR155" s="476"/>
      <c r="LS155" s="476"/>
      <c r="MG155" s="476"/>
      <c r="MH155" s="18"/>
      <c r="MI155" s="18"/>
      <c r="MJ155" s="479"/>
      <c r="ML155" s="18"/>
      <c r="MP155" s="351"/>
      <c r="MQ155" s="18"/>
      <c r="MR155" s="18"/>
      <c r="MS155" s="18"/>
      <c r="MT155" s="18"/>
      <c r="MY155" s="60"/>
      <c r="MZ155" s="3"/>
      <c r="NA155" s="485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1881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2369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4633</v>
      </c>
      <c r="BS156" s="60" t="s">
        <v>1413</v>
      </c>
      <c r="BT156" s="50"/>
      <c r="BX156" s="351"/>
      <c r="BY156" s="18"/>
      <c r="BZ156" s="472"/>
      <c r="CA156" s="18"/>
      <c r="CF156" s="351"/>
      <c r="CG156" s="18"/>
      <c r="CH156" s="472"/>
      <c r="CI156" s="18"/>
      <c r="CJ156" s="18"/>
      <c r="CO156" s="351"/>
      <c r="CP156" s="18"/>
      <c r="CQ156" s="472"/>
      <c r="CR156" s="18"/>
      <c r="CS156" s="18"/>
      <c r="CX156" s="351"/>
      <c r="CY156" s="18"/>
      <c r="CZ156" s="472"/>
      <c r="DA156" s="18"/>
      <c r="DB156" s="18"/>
      <c r="DG156" s="351"/>
      <c r="DH156" s="18"/>
      <c r="DI156" s="472"/>
      <c r="DJ156" s="18"/>
      <c r="DK156" s="18"/>
      <c r="DP156" s="381"/>
      <c r="DQ156" s="1"/>
      <c r="DR156" s="473"/>
      <c r="DS156" s="1"/>
      <c r="DT156" s="1"/>
      <c r="DY156" s="351"/>
      <c r="DZ156" s="18"/>
      <c r="EA156" s="472"/>
      <c r="EB156" s="18"/>
      <c r="EC156" s="18"/>
      <c r="EH156" s="351"/>
      <c r="EI156" s="18"/>
      <c r="EJ156" s="472"/>
      <c r="EK156" s="18"/>
      <c r="EL156" s="18"/>
      <c r="EQ156" s="351"/>
      <c r="ER156" s="18"/>
      <c r="ES156" s="472"/>
      <c r="ET156" s="18"/>
      <c r="EU156" s="18"/>
      <c r="EZ156" s="351"/>
      <c r="FA156" s="18"/>
      <c r="FB156" s="472"/>
      <c r="FC156" s="18"/>
      <c r="FD156" s="18"/>
      <c r="FI156" s="351"/>
      <c r="FJ156" s="18"/>
      <c r="FK156" s="472"/>
      <c r="FL156" s="18"/>
      <c r="FM156" s="18"/>
      <c r="FR156" s="351"/>
      <c r="FS156" s="18"/>
      <c r="FT156" s="472"/>
      <c r="FU156" s="18"/>
      <c r="FV156" s="18"/>
      <c r="GA156" s="351"/>
      <c r="GB156" s="18"/>
      <c r="GC156" s="472"/>
      <c r="GD156" s="18"/>
      <c r="GE156" s="18"/>
      <c r="GJ156" s="351"/>
      <c r="GK156" s="18"/>
      <c r="GL156" s="472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4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3"/>
      <c r="JG156" s="18"/>
      <c r="JH156" s="18"/>
      <c r="JM156" s="475"/>
      <c r="JN156" s="476"/>
      <c r="JV156" s="475"/>
      <c r="JW156" s="476"/>
      <c r="JX156" s="477"/>
      <c r="JY156" s="476"/>
      <c r="JZ156" s="476"/>
      <c r="KE156" s="351"/>
      <c r="KF156" s="18"/>
      <c r="KH156" s="18"/>
      <c r="KI156" s="18"/>
      <c r="KN156" s="351"/>
      <c r="KO156" s="18"/>
      <c r="KW156" s="351"/>
      <c r="KX156" s="18"/>
      <c r="LF156" s="482"/>
      <c r="LG156" s="18"/>
      <c r="LH156" s="477"/>
      <c r="LI156" s="18"/>
      <c r="LJ156" s="18"/>
      <c r="LO156" s="475"/>
      <c r="LP156" s="476"/>
      <c r="LQ156" s="472"/>
      <c r="LR156" s="476"/>
      <c r="LS156" s="476"/>
      <c r="MG156" s="476"/>
      <c r="MH156" s="18"/>
      <c r="MI156" s="18"/>
      <c r="MJ156" s="479"/>
      <c r="ML156" s="18"/>
      <c r="MP156" s="351"/>
      <c r="MQ156" s="18"/>
      <c r="MR156" s="18"/>
      <c r="MS156" s="18"/>
      <c r="MT156" s="18"/>
      <c r="MY156" s="484"/>
      <c r="MZ156" s="63"/>
      <c r="NA156" s="487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1950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2358</v>
      </c>
      <c r="BI157" s="18"/>
      <c r="BJ157" s="89"/>
      <c r="BK157" s="50"/>
      <c r="BM157" s="89"/>
      <c r="BN157" s="49" t="s">
        <v>4625</v>
      </c>
      <c r="BO157" s="18"/>
      <c r="BP157" s="353"/>
      <c r="BQ157" s="173"/>
      <c r="BR157" s="18"/>
      <c r="BT157" s="50"/>
      <c r="BV157" s="89"/>
      <c r="BW157" s="89"/>
      <c r="BX157" s="351"/>
      <c r="BY157" s="18"/>
      <c r="BZ157" s="472"/>
      <c r="CA157" s="18"/>
      <c r="CC157" s="89"/>
      <c r="CD157" s="89"/>
      <c r="CE157" s="89"/>
      <c r="CF157" s="351"/>
      <c r="CG157" s="18"/>
      <c r="CH157" s="472"/>
      <c r="CI157" s="18"/>
      <c r="CJ157" s="18"/>
      <c r="CL157" s="89"/>
      <c r="CM157" s="89"/>
      <c r="CN157" s="89"/>
      <c r="CO157" s="351"/>
      <c r="CP157" s="18"/>
      <c r="CQ157" s="472"/>
      <c r="CR157" s="18"/>
      <c r="CS157" s="18"/>
      <c r="CU157" s="89"/>
      <c r="CV157" s="89"/>
      <c r="CW157" s="89"/>
      <c r="CX157" s="351"/>
      <c r="CY157" s="18"/>
      <c r="CZ157" s="472"/>
      <c r="DA157" s="18"/>
      <c r="DB157" s="18"/>
      <c r="DD157" s="89"/>
      <c r="DE157" s="89"/>
      <c r="DF157" s="89"/>
      <c r="DG157" s="351"/>
      <c r="DH157" s="18"/>
      <c r="DI157" s="472"/>
      <c r="DJ157" s="18"/>
      <c r="DK157" s="18"/>
      <c r="DM157" s="89"/>
      <c r="DN157" s="89"/>
      <c r="DO157" s="89"/>
      <c r="DP157" s="381"/>
      <c r="DQ157" s="1"/>
      <c r="DR157" s="473"/>
      <c r="DS157" s="1"/>
      <c r="DT157" s="1"/>
      <c r="DV157" s="89"/>
      <c r="DW157" s="89"/>
      <c r="DX157" s="89"/>
      <c r="DY157" s="351"/>
      <c r="DZ157" s="18"/>
      <c r="EA157" s="472"/>
      <c r="EB157" s="18"/>
      <c r="EC157" s="18"/>
      <c r="EE157" s="89"/>
      <c r="EF157" s="89"/>
      <c r="EG157" s="89"/>
      <c r="EH157" s="351"/>
      <c r="EI157" s="18"/>
      <c r="EJ157" s="472"/>
      <c r="EK157" s="18"/>
      <c r="EL157" s="18"/>
      <c r="EN157" s="89"/>
      <c r="EO157" s="89"/>
      <c r="EP157" s="89"/>
      <c r="EQ157" s="351"/>
      <c r="ER157" s="18"/>
      <c r="ES157" s="472"/>
      <c r="ET157" s="18"/>
      <c r="EU157" s="18"/>
      <c r="EW157" s="89"/>
      <c r="EX157" s="89"/>
      <c r="EY157" s="89"/>
      <c r="EZ157" s="351"/>
      <c r="FA157" s="18"/>
      <c r="FB157" s="472"/>
      <c r="FC157" s="18"/>
      <c r="FD157" s="18"/>
      <c r="FF157" s="89"/>
      <c r="FG157" s="89"/>
      <c r="FH157" s="89"/>
      <c r="FI157" s="351"/>
      <c r="FJ157" s="18"/>
      <c r="FK157" s="472"/>
      <c r="FL157" s="18"/>
      <c r="FM157" s="18"/>
      <c r="FO157" s="89"/>
      <c r="FP157" s="89"/>
      <c r="FQ157" s="89"/>
      <c r="FR157" s="351"/>
      <c r="FS157" s="18"/>
      <c r="FT157" s="472"/>
      <c r="FU157" s="18"/>
      <c r="FV157" s="18"/>
      <c r="FX157" s="89"/>
      <c r="FY157" s="89"/>
      <c r="FZ157" s="89"/>
      <c r="GA157" s="351"/>
      <c r="GB157" s="18"/>
      <c r="GC157" s="472"/>
      <c r="GD157" s="18"/>
      <c r="GE157" s="18"/>
      <c r="GG157" s="89"/>
      <c r="GH157" s="89"/>
      <c r="GI157" s="89"/>
      <c r="GJ157" s="351"/>
      <c r="GK157" s="18"/>
      <c r="GL157" s="472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4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9"/>
      <c r="JE157" s="18"/>
      <c r="JF157" s="472"/>
      <c r="JG157" s="18"/>
      <c r="JH157" s="18"/>
      <c r="JI157" s="89"/>
      <c r="JJ157" s="89"/>
      <c r="JK157" s="89"/>
      <c r="JL157" s="89"/>
      <c r="JM157" s="475"/>
      <c r="JN157" s="476"/>
      <c r="JP157" s="89"/>
      <c r="JQ157" s="89"/>
      <c r="JR157" s="89"/>
      <c r="JS157" s="89"/>
      <c r="JT157" s="89"/>
      <c r="JU157" s="89"/>
      <c r="JV157" s="475"/>
      <c r="JW157" s="476"/>
      <c r="JX157" s="477"/>
      <c r="JY157" s="476"/>
      <c r="JZ157" s="476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7"/>
      <c r="LI157" s="18"/>
      <c r="LJ157" s="18"/>
      <c r="LK157" s="89"/>
      <c r="LL157" s="89"/>
      <c r="LM157" s="89"/>
      <c r="LN157" s="89"/>
      <c r="LO157" s="475"/>
      <c r="LP157" s="476"/>
      <c r="LQ157" s="472"/>
      <c r="LR157" s="476"/>
      <c r="LS157" s="476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6"/>
      <c r="MH157" s="18"/>
      <c r="MI157" s="18"/>
      <c r="MJ157" s="479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7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1882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2370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4634</v>
      </c>
      <c r="BS158" s="60" t="s">
        <v>1414</v>
      </c>
      <c r="BT158" s="50"/>
      <c r="BX158" s="479"/>
      <c r="BY158" s="18"/>
      <c r="BZ158" s="472"/>
      <c r="CA158" s="18"/>
      <c r="CF158" s="479"/>
      <c r="CG158" s="18"/>
      <c r="CH158" s="472"/>
      <c r="CI158" s="18"/>
      <c r="CJ158" s="18"/>
      <c r="CO158" s="479"/>
      <c r="CP158" s="18"/>
      <c r="CQ158" s="472"/>
      <c r="CR158" s="18"/>
      <c r="CS158" s="18"/>
      <c r="CX158" s="479"/>
      <c r="CY158" s="18"/>
      <c r="CZ158" s="472"/>
      <c r="DA158" s="18"/>
      <c r="DB158" s="18"/>
      <c r="DG158" s="479"/>
      <c r="DH158" s="18"/>
      <c r="DI158" s="472"/>
      <c r="DJ158" s="18"/>
      <c r="DK158" s="18"/>
      <c r="DP158" s="481"/>
      <c r="DQ158" s="1"/>
      <c r="DR158" s="473"/>
      <c r="DS158" s="1"/>
      <c r="DT158" s="1"/>
      <c r="DY158" s="479"/>
      <c r="DZ158" s="18"/>
      <c r="EA158" s="472"/>
      <c r="EB158" s="18"/>
      <c r="EC158" s="18"/>
      <c r="EH158" s="479"/>
      <c r="EI158" s="18"/>
      <c r="EJ158" s="472"/>
      <c r="EK158" s="18"/>
      <c r="EL158" s="18"/>
      <c r="EQ158" s="479"/>
      <c r="ER158" s="18"/>
      <c r="ES158" s="472"/>
      <c r="ET158" s="18"/>
      <c r="EU158" s="18"/>
      <c r="EZ158" s="479"/>
      <c r="FA158" s="18"/>
      <c r="FB158" s="472"/>
      <c r="FC158" s="18"/>
      <c r="FD158" s="18"/>
      <c r="FI158" s="479"/>
      <c r="FJ158" s="18"/>
      <c r="FK158" s="472"/>
      <c r="FL158" s="18"/>
      <c r="FM158" s="18"/>
      <c r="FR158" s="482"/>
      <c r="FS158" s="18"/>
      <c r="FT158" s="472"/>
      <c r="FU158" s="18"/>
      <c r="FV158" s="18"/>
      <c r="GA158" s="479"/>
      <c r="GB158" s="18"/>
      <c r="GC158" s="472"/>
      <c r="GD158" s="18"/>
      <c r="GE158" s="18"/>
      <c r="GJ158" s="479"/>
      <c r="GK158" s="18"/>
      <c r="GL158" s="472"/>
      <c r="GM158" s="18"/>
      <c r="GN158" s="18"/>
      <c r="HB158" s="482"/>
      <c r="HC158" s="18"/>
      <c r="HE158" s="18"/>
      <c r="HF158" s="18"/>
      <c r="HK158" s="482"/>
      <c r="HL158" s="18"/>
      <c r="HN158" s="18"/>
      <c r="HO158" s="18"/>
      <c r="HT158" s="18"/>
      <c r="HU158" s="474"/>
      <c r="HW158" s="18"/>
      <c r="HX158" s="18"/>
      <c r="HY158" s="18"/>
      <c r="IL158" s="479"/>
      <c r="IM158" s="18"/>
      <c r="IO158" s="18"/>
      <c r="IP158" s="18"/>
      <c r="IU158" s="482"/>
      <c r="IV158" s="18"/>
      <c r="IX158" s="18"/>
      <c r="IY158" s="18"/>
      <c r="JD158" s="18"/>
      <c r="JE158" s="18"/>
      <c r="JF158" s="472"/>
      <c r="JG158" s="18"/>
      <c r="JH158" s="18"/>
      <c r="JM158" s="479"/>
      <c r="JN158" s="476"/>
      <c r="JV158" s="479"/>
      <c r="JW158" s="476"/>
      <c r="JX158" s="477"/>
      <c r="JY158" s="476"/>
      <c r="JZ158" s="476"/>
      <c r="KE158" s="482"/>
      <c r="KF158" s="18"/>
      <c r="KH158" s="18"/>
      <c r="KI158" s="18"/>
      <c r="KN158" s="482"/>
      <c r="KO158" s="18"/>
      <c r="KW158" s="482"/>
      <c r="KX158" s="18"/>
      <c r="LF158" s="351"/>
      <c r="LG158" s="18"/>
      <c r="LH158" s="477"/>
      <c r="LI158" s="18"/>
      <c r="LJ158" s="18"/>
      <c r="LO158" s="479"/>
      <c r="LP158" s="476"/>
      <c r="LQ158" s="472"/>
      <c r="LR158" s="476"/>
      <c r="LS158" s="476"/>
      <c r="MG158" s="476"/>
      <c r="MH158" s="18"/>
      <c r="MI158" s="18"/>
      <c r="MJ158" s="479"/>
      <c r="ML158" s="18"/>
      <c r="MP158" s="482"/>
      <c r="MQ158" s="18"/>
      <c r="MR158" s="18"/>
      <c r="MS158" s="18"/>
      <c r="MT158" s="18"/>
      <c r="MY158" s="60"/>
      <c r="MZ158" s="3"/>
      <c r="NA158" s="487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2358</v>
      </c>
      <c r="BI159" s="18"/>
      <c r="BK159" s="50"/>
      <c r="BN159" s="49" t="s">
        <v>4625</v>
      </c>
      <c r="BO159" s="18"/>
      <c r="BP159" s="353"/>
      <c r="BQ159" s="173"/>
      <c r="BR159" s="18"/>
      <c r="BT159" s="50"/>
      <c r="BX159" s="18"/>
      <c r="BY159" s="18"/>
      <c r="BZ159" s="472"/>
      <c r="CA159" s="18"/>
      <c r="CF159" s="18"/>
      <c r="CG159" s="18"/>
      <c r="CH159" s="472"/>
      <c r="CI159" s="18"/>
      <c r="CJ159" s="18"/>
      <c r="CO159" s="18"/>
      <c r="CP159" s="18"/>
      <c r="CQ159" s="472"/>
      <c r="CR159" s="18"/>
      <c r="CS159" s="18"/>
      <c r="CX159" s="18"/>
      <c r="CY159" s="18"/>
      <c r="CZ159" s="472"/>
      <c r="DA159" s="18"/>
      <c r="DB159" s="18"/>
      <c r="DG159" s="18"/>
      <c r="DH159" s="18"/>
      <c r="DI159" s="472"/>
      <c r="DJ159" s="18"/>
      <c r="DK159" s="18"/>
      <c r="DP159" s="1"/>
      <c r="DQ159" s="1"/>
      <c r="DR159" s="473"/>
      <c r="DS159" s="1"/>
      <c r="DT159" s="1"/>
      <c r="DY159" s="18"/>
      <c r="DZ159" s="18"/>
      <c r="EA159" s="472"/>
      <c r="EB159" s="18"/>
      <c r="EC159" s="18"/>
      <c r="EH159" s="18"/>
      <c r="EI159" s="18"/>
      <c r="EJ159" s="472"/>
      <c r="EK159" s="18"/>
      <c r="EL159" s="18"/>
      <c r="EQ159" s="18"/>
      <c r="ER159" s="18"/>
      <c r="ES159" s="472"/>
      <c r="ET159" s="18"/>
      <c r="EU159" s="18"/>
      <c r="EZ159" s="18"/>
      <c r="FA159" s="18"/>
      <c r="FB159" s="472"/>
      <c r="FC159" s="18"/>
      <c r="FD159" s="18"/>
      <c r="FI159" s="18"/>
      <c r="FJ159" s="18"/>
      <c r="FK159" s="472"/>
      <c r="FL159" s="18"/>
      <c r="FM159" s="18"/>
      <c r="FR159" s="18"/>
      <c r="FS159" s="18"/>
      <c r="FT159" s="472"/>
      <c r="FU159" s="18"/>
      <c r="FV159" s="18"/>
      <c r="GA159" s="18"/>
      <c r="GB159" s="18"/>
      <c r="GC159" s="472"/>
      <c r="GD159" s="18"/>
      <c r="GE159" s="18"/>
      <c r="GJ159" s="18"/>
      <c r="GK159" s="18"/>
      <c r="GL159" s="472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4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2"/>
      <c r="JG159" s="18"/>
      <c r="JH159" s="18"/>
      <c r="JM159" s="476"/>
      <c r="JN159" s="476"/>
      <c r="JV159" s="476"/>
      <c r="JW159" s="476"/>
      <c r="JX159" s="477"/>
      <c r="JY159" s="476"/>
      <c r="JZ159" s="476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7"/>
      <c r="LI159" s="18"/>
      <c r="LJ159" s="18"/>
      <c r="LO159" s="476"/>
      <c r="LP159" s="476"/>
      <c r="LQ159" s="472"/>
      <c r="LR159" s="476"/>
      <c r="LS159" s="476"/>
      <c r="MG159" s="476"/>
      <c r="MH159" s="18"/>
      <c r="MI159" s="18"/>
      <c r="MJ159" s="479"/>
      <c r="ML159" s="18"/>
      <c r="MP159" s="18"/>
      <c r="MQ159" s="18"/>
      <c r="MR159" s="18"/>
      <c r="MS159" s="18"/>
      <c r="MT159" s="18"/>
      <c r="MY159" s="3"/>
      <c r="MZ159" s="3"/>
      <c r="NA159" s="487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1883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2371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4635</v>
      </c>
      <c r="BS160" t="s">
        <v>1415</v>
      </c>
      <c r="BT160" s="50"/>
      <c r="BX160" s="351"/>
      <c r="BY160" s="18"/>
      <c r="BZ160" s="472"/>
      <c r="CA160" s="18"/>
      <c r="CF160" s="351"/>
      <c r="CG160" s="18"/>
      <c r="CH160" s="472"/>
      <c r="CI160" s="18"/>
      <c r="CJ160" s="18"/>
      <c r="CO160" s="351"/>
      <c r="CP160" s="18"/>
      <c r="CQ160" s="472"/>
      <c r="CR160" s="18"/>
      <c r="CS160" s="18"/>
      <c r="CX160" s="351"/>
      <c r="CY160" s="18"/>
      <c r="CZ160" s="472"/>
      <c r="DA160" s="18"/>
      <c r="DB160" s="18"/>
      <c r="DG160" s="351"/>
      <c r="DH160" s="18"/>
      <c r="DI160" s="472"/>
      <c r="DJ160" s="18"/>
      <c r="DK160" s="18"/>
      <c r="DP160" s="381"/>
      <c r="DQ160" s="1"/>
      <c r="DR160" s="473"/>
      <c r="DS160" s="1"/>
      <c r="DT160" s="1"/>
      <c r="DY160" s="351"/>
      <c r="DZ160" s="18"/>
      <c r="EA160" s="472"/>
      <c r="EB160" s="18"/>
      <c r="EC160" s="18"/>
      <c r="EH160" s="351"/>
      <c r="EI160" s="18"/>
      <c r="EJ160" s="472"/>
      <c r="EK160" s="18"/>
      <c r="EL160" s="18"/>
      <c r="EQ160" s="351"/>
      <c r="ER160" s="18"/>
      <c r="ES160" s="472"/>
      <c r="ET160" s="18"/>
      <c r="EU160" s="18"/>
      <c r="EZ160" s="351"/>
      <c r="FA160" s="18"/>
      <c r="FB160" s="472"/>
      <c r="FC160" s="18"/>
      <c r="FD160" s="18"/>
      <c r="FI160" s="351"/>
      <c r="FJ160" s="18"/>
      <c r="FK160" s="472"/>
      <c r="FL160" s="18"/>
      <c r="FM160" s="18"/>
      <c r="FR160" s="351"/>
      <c r="FS160" s="18"/>
      <c r="FT160" s="472"/>
      <c r="FU160" s="18"/>
      <c r="FV160" s="18"/>
      <c r="GA160" s="351"/>
      <c r="GB160" s="18"/>
      <c r="GC160" s="472"/>
      <c r="GD160" s="18"/>
      <c r="GE160" s="18"/>
      <c r="GJ160" s="351"/>
      <c r="GK160" s="18"/>
      <c r="GL160" s="472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4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2"/>
      <c r="JG160" s="18"/>
      <c r="JH160" s="18"/>
      <c r="JM160" s="475"/>
      <c r="JN160" s="476"/>
      <c r="JV160" s="475"/>
      <c r="JW160" s="476"/>
      <c r="JX160" s="477"/>
      <c r="JY160" s="476"/>
      <c r="JZ160" s="476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7"/>
      <c r="LI160" s="18"/>
      <c r="LJ160" s="18"/>
      <c r="LO160" s="475"/>
      <c r="LP160" s="476"/>
      <c r="LQ160" s="472"/>
      <c r="LR160" s="476"/>
      <c r="LS160" s="476"/>
      <c r="MG160" s="476"/>
      <c r="MH160" s="18"/>
      <c r="MI160" s="18"/>
      <c r="MJ160" s="479"/>
      <c r="ML160" s="18"/>
      <c r="MP160" s="351"/>
      <c r="MQ160" s="18"/>
      <c r="MR160" s="18"/>
      <c r="MS160" s="18"/>
      <c r="MT160" s="18"/>
      <c r="MY160" s="60"/>
      <c r="MZ160" s="63"/>
      <c r="NA160" s="487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2358</v>
      </c>
      <c r="BI161" s="18"/>
      <c r="BK161" s="50"/>
      <c r="BN161" s="49" t="s">
        <v>4625</v>
      </c>
      <c r="BO161" s="9"/>
      <c r="BP161" s="63"/>
      <c r="BQ161" s="89"/>
      <c r="BR161" s="59"/>
      <c r="BS161" s="59"/>
      <c r="BT161" s="50"/>
      <c r="BX161" s="18"/>
      <c r="BY161" s="18"/>
      <c r="BZ161" s="472"/>
      <c r="CA161" s="18"/>
      <c r="CF161" s="18"/>
      <c r="CG161" s="18"/>
      <c r="CH161" s="472"/>
      <c r="CI161" s="18"/>
      <c r="CJ161" s="18"/>
      <c r="CO161" s="18"/>
      <c r="CP161" s="18"/>
      <c r="CQ161" s="472"/>
      <c r="CR161" s="18"/>
      <c r="CS161" s="18"/>
      <c r="CX161" s="18"/>
      <c r="CY161" s="18"/>
      <c r="CZ161" s="472"/>
      <c r="DA161" s="18"/>
      <c r="DB161" s="18"/>
      <c r="DG161" s="18"/>
      <c r="DH161" s="18"/>
      <c r="DI161" s="472"/>
      <c r="DJ161" s="18"/>
      <c r="DK161" s="18"/>
      <c r="DP161" s="1"/>
      <c r="DQ161" s="1"/>
      <c r="DR161" s="473"/>
      <c r="DS161" s="1"/>
      <c r="DT161" s="1"/>
      <c r="DY161" s="18"/>
      <c r="DZ161" s="18"/>
      <c r="EA161" s="472"/>
      <c r="EB161" s="18"/>
      <c r="EC161" s="18"/>
      <c r="EH161" s="18"/>
      <c r="EI161" s="18"/>
      <c r="EJ161" s="472"/>
      <c r="EK161" s="18"/>
      <c r="EL161" s="18"/>
      <c r="EQ161" s="18"/>
      <c r="ER161" s="18"/>
      <c r="ES161" s="472"/>
      <c r="ET161" s="18"/>
      <c r="EU161" s="18"/>
      <c r="EZ161" s="18"/>
      <c r="FA161" s="18"/>
      <c r="FB161" s="472"/>
      <c r="FC161" s="18"/>
      <c r="FD161" s="18"/>
      <c r="FI161" s="18"/>
      <c r="FJ161" s="18"/>
      <c r="FK161" s="472"/>
      <c r="FL161" s="18"/>
      <c r="FM161" s="18"/>
      <c r="FR161" s="18"/>
      <c r="FS161" s="18"/>
      <c r="FT161" s="472"/>
      <c r="FU161" s="18"/>
      <c r="FV161" s="18"/>
      <c r="GA161" s="18"/>
      <c r="GB161" s="18"/>
      <c r="GC161" s="472"/>
      <c r="GD161" s="18"/>
      <c r="GE161" s="18"/>
      <c r="GJ161" s="18"/>
      <c r="GK161" s="18"/>
      <c r="GL161" s="472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4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2"/>
      <c r="JG161" s="18"/>
      <c r="JH161" s="18"/>
      <c r="JM161" s="476"/>
      <c r="JN161" s="476"/>
      <c r="JV161" s="476"/>
      <c r="JW161" s="476"/>
      <c r="JX161" s="477"/>
      <c r="JY161" s="476"/>
      <c r="JZ161" s="476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8"/>
      <c r="LI161" s="18"/>
      <c r="LJ161" s="18"/>
      <c r="LO161" s="476"/>
      <c r="LP161" s="476"/>
      <c r="LQ161" s="472"/>
      <c r="LR161" s="476"/>
      <c r="LS161" s="476"/>
      <c r="MG161" s="476"/>
      <c r="MH161" s="18"/>
      <c r="MI161" s="18"/>
      <c r="MJ161" s="479"/>
      <c r="ML161" s="18"/>
      <c r="MP161" s="18"/>
      <c r="MQ161" s="18"/>
      <c r="MR161" s="18"/>
      <c r="MS161" s="18"/>
      <c r="MT161" s="18"/>
      <c r="MY161" s="3"/>
      <c r="MZ161" s="3"/>
      <c r="NA161" s="480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1884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2372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4636</v>
      </c>
      <c r="BS162" s="60" t="s">
        <v>1416</v>
      </c>
      <c r="BT162" s="50"/>
      <c r="BX162" s="351"/>
      <c r="BY162" s="18"/>
      <c r="BZ162" s="472"/>
      <c r="CA162" s="18"/>
      <c r="CF162" s="351"/>
      <c r="CG162" s="18"/>
      <c r="CH162" s="472"/>
      <c r="CI162" s="18"/>
      <c r="CJ162" s="18"/>
      <c r="CO162" s="351"/>
      <c r="CP162" s="18"/>
      <c r="CQ162" s="472"/>
      <c r="CR162" s="18"/>
      <c r="CS162" s="18"/>
      <c r="CX162" s="351"/>
      <c r="CY162" s="18"/>
      <c r="CZ162" s="472"/>
      <c r="DA162" s="18"/>
      <c r="DB162" s="18"/>
      <c r="DG162" s="351"/>
      <c r="DH162" s="18"/>
      <c r="DI162" s="472"/>
      <c r="DJ162" s="18"/>
      <c r="DK162" s="18"/>
      <c r="DP162" s="381"/>
      <c r="DQ162" s="1"/>
      <c r="DR162" s="473"/>
      <c r="DS162" s="1"/>
      <c r="DT162" s="1"/>
      <c r="DY162" s="351"/>
      <c r="DZ162" s="18"/>
      <c r="EA162" s="472"/>
      <c r="EB162" s="18"/>
      <c r="EC162" s="18"/>
      <c r="EH162" s="351"/>
      <c r="EI162" s="18"/>
      <c r="EJ162" s="472"/>
      <c r="EK162" s="18"/>
      <c r="EL162" s="18"/>
      <c r="EQ162" s="351"/>
      <c r="ER162" s="18"/>
      <c r="ES162" s="472"/>
      <c r="ET162" s="18"/>
      <c r="EU162" s="18"/>
      <c r="EZ162" s="351"/>
      <c r="FA162" s="18"/>
      <c r="FB162" s="472"/>
      <c r="FC162" s="18"/>
      <c r="FD162" s="18"/>
      <c r="FI162" s="351"/>
      <c r="FJ162" s="18"/>
      <c r="FK162" s="472"/>
      <c r="FL162" s="18"/>
      <c r="FM162" s="18"/>
      <c r="FR162" s="351"/>
      <c r="FS162" s="18"/>
      <c r="FT162" s="472"/>
      <c r="FU162" s="18"/>
      <c r="FV162" s="18"/>
      <c r="GA162" s="351"/>
      <c r="GB162" s="18"/>
      <c r="GC162" s="472"/>
      <c r="GD162" s="18"/>
      <c r="GE162" s="18"/>
      <c r="GJ162" s="351"/>
      <c r="GK162" s="18"/>
      <c r="GL162" s="472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4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3"/>
      <c r="JG162" s="18"/>
      <c r="JH162" s="18"/>
      <c r="JM162" s="475"/>
      <c r="JN162" s="476"/>
      <c r="JV162" s="475"/>
      <c r="JW162" s="476"/>
      <c r="JX162" s="477"/>
      <c r="JY162" s="476"/>
      <c r="JZ162" s="476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7"/>
      <c r="LI162" s="18"/>
      <c r="LJ162" s="18"/>
      <c r="LO162" s="475"/>
      <c r="LP162" s="476"/>
      <c r="LQ162" s="472"/>
      <c r="LR162" s="476"/>
      <c r="LS162" s="476"/>
      <c r="MG162" s="476"/>
      <c r="MH162" s="18"/>
      <c r="MI162" s="18"/>
      <c r="MJ162" s="479"/>
      <c r="ML162" s="18"/>
      <c r="MP162" s="351"/>
      <c r="MQ162" s="18"/>
      <c r="MR162" s="18"/>
      <c r="MS162" s="18"/>
      <c r="MT162" s="18"/>
      <c r="MY162" s="60"/>
      <c r="MZ162" s="3"/>
      <c r="NA162" s="487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3121</v>
      </c>
      <c r="AX163" s="18"/>
      <c r="AY163" s="89"/>
      <c r="AZ163" s="18"/>
      <c r="BA163" s="3"/>
      <c r="BB163" s="50"/>
      <c r="BC163"/>
      <c r="BE163" s="48" t="s">
        <v>2358</v>
      </c>
      <c r="BI163" s="18"/>
      <c r="BK163" s="50"/>
      <c r="BN163" s="49" t="s">
        <v>4625</v>
      </c>
      <c r="BO163" s="103"/>
      <c r="BP163" s="63"/>
      <c r="BQ163" s="89"/>
      <c r="BR163" s="59"/>
      <c r="BS163" s="59"/>
      <c r="BT163" s="50"/>
      <c r="BX163" s="18"/>
      <c r="BY163" s="18"/>
      <c r="BZ163" s="472"/>
      <c r="CA163" s="18"/>
      <c r="CF163" s="18"/>
      <c r="CG163" s="18"/>
      <c r="CH163" s="472"/>
      <c r="CI163" s="18"/>
      <c r="CJ163" s="18"/>
      <c r="CO163" s="18"/>
      <c r="CP163" s="18"/>
      <c r="CQ163" s="472"/>
      <c r="CR163" s="18"/>
      <c r="CS163" s="18"/>
      <c r="CX163" s="18"/>
      <c r="CY163" s="18"/>
      <c r="CZ163" s="472"/>
      <c r="DA163" s="18"/>
      <c r="DB163" s="18"/>
      <c r="DG163" s="18"/>
      <c r="DH163" s="18"/>
      <c r="DI163" s="472"/>
      <c r="DJ163" s="18"/>
      <c r="DK163" s="18"/>
      <c r="DP163" s="1"/>
      <c r="DQ163" s="1"/>
      <c r="DR163" s="473"/>
      <c r="DS163" s="1"/>
      <c r="DT163" s="1"/>
      <c r="DY163" s="18"/>
      <c r="DZ163" s="18"/>
      <c r="EA163" s="472"/>
      <c r="EB163" s="18"/>
      <c r="EC163" s="18"/>
      <c r="EH163" s="18"/>
      <c r="EI163" s="18"/>
      <c r="EJ163" s="472"/>
      <c r="EK163" s="18"/>
      <c r="EL163" s="18"/>
      <c r="EQ163" s="18"/>
      <c r="ER163" s="18"/>
      <c r="ES163" s="472"/>
      <c r="ET163" s="18"/>
      <c r="EU163" s="18"/>
      <c r="EZ163" s="18"/>
      <c r="FA163" s="18"/>
      <c r="FB163" s="472"/>
      <c r="FC163" s="18"/>
      <c r="FD163" s="18"/>
      <c r="FI163" s="18"/>
      <c r="FJ163" s="18"/>
      <c r="FK163" s="472"/>
      <c r="FL163" s="18"/>
      <c r="FM163" s="18"/>
      <c r="FR163" s="18"/>
      <c r="FS163" s="18"/>
      <c r="FT163" s="472"/>
      <c r="FU163" s="18"/>
      <c r="FV163" s="18"/>
      <c r="GA163" s="18"/>
      <c r="GB163" s="18"/>
      <c r="GC163" s="472"/>
      <c r="GD163" s="18"/>
      <c r="GE163" s="18"/>
      <c r="GJ163" s="18"/>
      <c r="GK163" s="18"/>
      <c r="GL163" s="472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4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2"/>
      <c r="JG163" s="18"/>
      <c r="JH163" s="18"/>
      <c r="JM163" s="476"/>
      <c r="JN163" s="476"/>
      <c r="JV163" s="476"/>
      <c r="JW163" s="476"/>
      <c r="JX163" s="477"/>
      <c r="JY163" s="476"/>
      <c r="JZ163" s="476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8"/>
      <c r="LI163" s="18"/>
      <c r="LJ163" s="18"/>
      <c r="LO163" s="476"/>
      <c r="LP163" s="476"/>
      <c r="LQ163" s="472"/>
      <c r="LR163" s="476"/>
      <c r="LS163" s="476"/>
      <c r="MG163" s="476"/>
      <c r="MH163" s="18"/>
      <c r="MI163" s="18"/>
      <c r="MJ163" s="479"/>
      <c r="ML163" s="18"/>
      <c r="MP163" s="18"/>
      <c r="MQ163" s="18"/>
      <c r="MR163" s="18"/>
      <c r="MS163" s="18"/>
      <c r="MT163" s="18"/>
      <c r="MY163" s="60"/>
      <c r="MZ163" s="3"/>
      <c r="NA163" s="480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1885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2373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4637</v>
      </c>
      <c r="BS164" s="3" t="s">
        <v>1417</v>
      </c>
      <c r="BT164" s="50"/>
      <c r="BX164" s="351"/>
      <c r="BY164" s="18"/>
      <c r="BZ164" s="472"/>
      <c r="CA164" s="18"/>
      <c r="CF164" s="351"/>
      <c r="CG164" s="18"/>
      <c r="CH164" s="472"/>
      <c r="CI164" s="18"/>
      <c r="CJ164" s="18"/>
      <c r="CO164" s="351"/>
      <c r="CP164" s="18"/>
      <c r="CQ164" s="472"/>
      <c r="CR164" s="18"/>
      <c r="CS164" s="18"/>
      <c r="CX164" s="351"/>
      <c r="CY164" s="18"/>
      <c r="CZ164" s="472"/>
      <c r="DA164" s="18"/>
      <c r="DB164" s="18"/>
      <c r="DG164" s="351"/>
      <c r="DH164" s="18"/>
      <c r="DI164" s="472"/>
      <c r="DJ164" s="18"/>
      <c r="DK164" s="18"/>
      <c r="DP164" s="381"/>
      <c r="DQ164" s="1"/>
      <c r="DR164" s="473"/>
      <c r="DS164" s="1"/>
      <c r="DT164" s="1"/>
      <c r="DY164" s="351"/>
      <c r="DZ164" s="18"/>
      <c r="EA164" s="472"/>
      <c r="EB164" s="18"/>
      <c r="EC164" s="18"/>
      <c r="EH164" s="351"/>
      <c r="EI164" s="18"/>
      <c r="EJ164" s="472"/>
      <c r="EK164" s="18"/>
      <c r="EL164" s="18"/>
      <c r="EQ164" s="351"/>
      <c r="ER164" s="18"/>
      <c r="ES164" s="472"/>
      <c r="ET164" s="18"/>
      <c r="EU164" s="18"/>
      <c r="EZ164" s="351"/>
      <c r="FA164" s="18"/>
      <c r="FB164" s="472"/>
      <c r="FC164" s="18"/>
      <c r="FD164" s="18"/>
      <c r="FI164" s="351"/>
      <c r="FJ164" s="18"/>
      <c r="FK164" s="472"/>
      <c r="FL164" s="18"/>
      <c r="FM164" s="18"/>
      <c r="FR164" s="351"/>
      <c r="FS164" s="18"/>
      <c r="FT164" s="472"/>
      <c r="FU164" s="18"/>
      <c r="FV164" s="18"/>
      <c r="GA164" s="351"/>
      <c r="GB164" s="18"/>
      <c r="GC164" s="472"/>
      <c r="GD164" s="18"/>
      <c r="GE164" s="18"/>
      <c r="GJ164" s="351"/>
      <c r="GK164" s="18"/>
      <c r="GL164" s="472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4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3"/>
      <c r="JG164" s="18"/>
      <c r="JH164" s="18"/>
      <c r="JM164" s="475"/>
      <c r="JN164" s="476"/>
      <c r="JV164" s="475"/>
      <c r="JW164" s="476"/>
      <c r="JX164" s="477"/>
      <c r="JY164" s="476"/>
      <c r="JZ164" s="476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7"/>
      <c r="LI164" s="18"/>
      <c r="LJ164" s="18"/>
      <c r="LO164" s="475"/>
      <c r="LP164" s="476"/>
      <c r="LQ164" s="472"/>
      <c r="LR164" s="476"/>
      <c r="LS164" s="476"/>
      <c r="MG164" s="476"/>
      <c r="MH164" s="18"/>
      <c r="MI164" s="18"/>
      <c r="MJ164" s="479"/>
      <c r="ML164" s="18"/>
      <c r="MP164" s="351"/>
      <c r="MQ164" s="18"/>
      <c r="MR164" s="18"/>
      <c r="MS164" s="18"/>
      <c r="MT164" s="18"/>
      <c r="MY164" s="60"/>
      <c r="MZ164" s="3"/>
      <c r="NA164" s="487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2358</v>
      </c>
      <c r="BI165" s="18"/>
      <c r="BK165" s="50"/>
      <c r="BN165" s="49" t="s">
        <v>4625</v>
      </c>
      <c r="BO165" s="9"/>
      <c r="BP165" s="63"/>
      <c r="BQ165" s="89"/>
      <c r="BR165" s="59"/>
      <c r="BS165" s="59"/>
      <c r="BT165" s="50"/>
      <c r="BX165" s="351"/>
      <c r="BY165" s="18"/>
      <c r="BZ165" s="472"/>
      <c r="CA165" s="18"/>
      <c r="CF165" s="351"/>
      <c r="CG165" s="18"/>
      <c r="CH165" s="472"/>
      <c r="CI165" s="18"/>
      <c r="CJ165" s="18"/>
      <c r="CO165" s="351"/>
      <c r="CP165" s="18"/>
      <c r="CQ165" s="472"/>
      <c r="CR165" s="18"/>
      <c r="CS165" s="18"/>
      <c r="CX165" s="351"/>
      <c r="CY165" s="18"/>
      <c r="CZ165" s="472"/>
      <c r="DA165" s="18"/>
      <c r="DB165" s="18"/>
      <c r="DG165" s="351"/>
      <c r="DH165" s="18"/>
      <c r="DI165" s="472"/>
      <c r="DJ165" s="18"/>
      <c r="DK165" s="18"/>
      <c r="DP165" s="381"/>
      <c r="DQ165" s="1"/>
      <c r="DR165" s="473"/>
      <c r="DS165" s="1"/>
      <c r="DT165" s="1"/>
      <c r="DY165" s="351"/>
      <c r="DZ165" s="18"/>
      <c r="EA165" s="472"/>
      <c r="EB165" s="18"/>
      <c r="EC165" s="18"/>
      <c r="EH165" s="351"/>
      <c r="EI165" s="18"/>
      <c r="EJ165" s="472"/>
      <c r="EK165" s="18"/>
      <c r="EL165" s="18"/>
      <c r="EQ165" s="351"/>
      <c r="ER165" s="18"/>
      <c r="ES165" s="472"/>
      <c r="ET165" s="18"/>
      <c r="EU165" s="18"/>
      <c r="EZ165" s="351"/>
      <c r="FA165" s="18"/>
      <c r="FB165" s="472"/>
      <c r="FC165" s="18"/>
      <c r="FD165" s="18"/>
      <c r="FI165" s="351"/>
      <c r="FJ165" s="18"/>
      <c r="FK165" s="472"/>
      <c r="FL165" s="18"/>
      <c r="FM165" s="18"/>
      <c r="FR165" s="351"/>
      <c r="FS165" s="18"/>
      <c r="FT165" s="472"/>
      <c r="FU165" s="18"/>
      <c r="FV165" s="18"/>
      <c r="GA165" s="351"/>
      <c r="GB165" s="18"/>
      <c r="GC165" s="472"/>
      <c r="GD165" s="18"/>
      <c r="GE165" s="18"/>
      <c r="GJ165" s="351"/>
      <c r="GK165" s="18"/>
      <c r="GL165" s="472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4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2"/>
      <c r="JG165" s="18"/>
      <c r="JH165" s="18"/>
      <c r="JM165" s="475"/>
      <c r="JN165" s="476"/>
      <c r="JV165" s="475"/>
      <c r="JW165" s="476"/>
      <c r="JX165" s="477"/>
      <c r="JY165" s="476"/>
      <c r="JZ165" s="476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7"/>
      <c r="LI165" s="18"/>
      <c r="LJ165" s="18"/>
      <c r="LO165" s="475"/>
      <c r="LP165" s="476"/>
      <c r="LQ165" s="472"/>
      <c r="LR165" s="476"/>
      <c r="LS165" s="476"/>
      <c r="MG165" s="476"/>
      <c r="MH165" s="18"/>
      <c r="MI165" s="18"/>
      <c r="MJ165" s="479"/>
      <c r="ML165" s="18"/>
      <c r="MP165" s="351"/>
      <c r="MQ165" s="18"/>
      <c r="MR165" s="18"/>
      <c r="MS165" s="18"/>
      <c r="MT165" s="18"/>
      <c r="MY165" s="3"/>
      <c r="MZ165" s="3"/>
      <c r="NA165" s="487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1886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2374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4638</v>
      </c>
      <c r="BS166" s="3" t="s">
        <v>1418</v>
      </c>
      <c r="BT166" s="50"/>
      <c r="BX166" s="351"/>
      <c r="BY166" s="18"/>
      <c r="BZ166" s="472"/>
      <c r="CA166" s="18"/>
      <c r="CF166" s="351"/>
      <c r="CG166" s="18"/>
      <c r="CH166" s="472"/>
      <c r="CI166" s="18"/>
      <c r="CJ166" s="18"/>
      <c r="CO166" s="351"/>
      <c r="CP166" s="18"/>
      <c r="CQ166" s="472"/>
      <c r="CR166" s="18"/>
      <c r="CS166" s="18"/>
      <c r="CX166" s="351"/>
      <c r="CY166" s="18"/>
      <c r="CZ166" s="472"/>
      <c r="DA166" s="18"/>
      <c r="DB166" s="18"/>
      <c r="DG166" s="351"/>
      <c r="DH166" s="18"/>
      <c r="DI166" s="472"/>
      <c r="DJ166" s="18"/>
      <c r="DK166" s="18"/>
      <c r="DP166" s="381"/>
      <c r="DQ166" s="1"/>
      <c r="DR166" s="473"/>
      <c r="DS166" s="1"/>
      <c r="DT166" s="1"/>
      <c r="DY166" s="351"/>
      <c r="DZ166" s="18"/>
      <c r="EA166" s="472"/>
      <c r="EB166" s="18"/>
      <c r="EC166" s="18"/>
      <c r="EH166" s="351"/>
      <c r="EI166" s="18"/>
      <c r="EJ166" s="472"/>
      <c r="EK166" s="18"/>
      <c r="EL166" s="18"/>
      <c r="EQ166" s="351"/>
      <c r="ER166" s="18"/>
      <c r="ES166" s="472"/>
      <c r="ET166" s="18"/>
      <c r="EU166" s="18"/>
      <c r="EZ166" s="351"/>
      <c r="FA166" s="18"/>
      <c r="FB166" s="472"/>
      <c r="FC166" s="18"/>
      <c r="FD166" s="18"/>
      <c r="FI166" s="351"/>
      <c r="FJ166" s="18"/>
      <c r="FK166" s="472"/>
      <c r="FL166" s="18"/>
      <c r="FM166" s="18"/>
      <c r="FR166" s="351"/>
      <c r="FS166" s="18"/>
      <c r="FT166" s="472"/>
      <c r="FU166" s="18"/>
      <c r="FV166" s="18"/>
      <c r="GA166" s="351"/>
      <c r="GB166" s="18"/>
      <c r="GC166" s="472"/>
      <c r="GD166" s="18"/>
      <c r="GE166" s="18"/>
      <c r="GJ166" s="351"/>
      <c r="GK166" s="18"/>
      <c r="GL166" s="472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4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2"/>
      <c r="JG166" s="18"/>
      <c r="JH166" s="18"/>
      <c r="JM166" s="475"/>
      <c r="JN166" s="476"/>
      <c r="JV166" s="475"/>
      <c r="JW166" s="476"/>
      <c r="JX166" s="477"/>
      <c r="JY166" s="476"/>
      <c r="JZ166" s="476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7"/>
      <c r="LI166" s="18"/>
      <c r="LJ166" s="18"/>
      <c r="LO166" s="475"/>
      <c r="LP166" s="476"/>
      <c r="LQ166" s="472"/>
      <c r="LR166" s="476"/>
      <c r="LS166" s="476"/>
      <c r="MG166" s="476"/>
      <c r="MH166" s="18"/>
      <c r="MI166" s="18"/>
      <c r="MJ166" s="479"/>
      <c r="ML166" s="18"/>
      <c r="MP166" s="351"/>
      <c r="MQ166" s="18"/>
      <c r="MR166" s="18"/>
      <c r="MS166" s="18"/>
      <c r="MT166" s="18"/>
      <c r="MY166" s="3"/>
      <c r="MZ166" s="3"/>
      <c r="NA166" s="486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3123</v>
      </c>
      <c r="BI167" s="18"/>
      <c r="BK167" s="50"/>
      <c r="BN167" s="49" t="s">
        <v>4625</v>
      </c>
      <c r="BO167" s="9"/>
      <c r="BP167" s="63"/>
      <c r="BQ167" s="89"/>
      <c r="BR167" s="59"/>
      <c r="BS167" s="59"/>
      <c r="BT167" s="50"/>
      <c r="BX167" s="18"/>
      <c r="BY167" s="18"/>
      <c r="BZ167" s="472"/>
      <c r="CA167" s="18"/>
      <c r="CF167" s="18"/>
      <c r="CG167" s="18"/>
      <c r="CH167" s="472"/>
      <c r="CI167" s="18"/>
      <c r="CJ167" s="18"/>
      <c r="CO167" s="18"/>
      <c r="CP167" s="18"/>
      <c r="CQ167" s="472"/>
      <c r="CR167" s="18"/>
      <c r="CS167" s="18"/>
      <c r="CX167" s="18"/>
      <c r="CY167" s="18"/>
      <c r="CZ167" s="472"/>
      <c r="DA167" s="18"/>
      <c r="DB167" s="18"/>
      <c r="DG167" s="18"/>
      <c r="DH167" s="18"/>
      <c r="DI167" s="472"/>
      <c r="DJ167" s="18"/>
      <c r="DK167" s="18"/>
      <c r="DP167" s="1"/>
      <c r="DQ167" s="1"/>
      <c r="DR167" s="473"/>
      <c r="DS167" s="1"/>
      <c r="DT167" s="1"/>
      <c r="DY167" s="18"/>
      <c r="DZ167" s="18"/>
      <c r="EA167" s="472"/>
      <c r="EB167" s="18"/>
      <c r="EC167" s="18"/>
      <c r="EH167" s="18"/>
      <c r="EI167" s="18"/>
      <c r="EJ167" s="472"/>
      <c r="EK167" s="18"/>
      <c r="EL167" s="18"/>
      <c r="EQ167" s="18"/>
      <c r="ER167" s="18"/>
      <c r="ES167" s="472"/>
      <c r="ET167" s="18"/>
      <c r="EU167" s="18"/>
      <c r="EZ167" s="18"/>
      <c r="FA167" s="18"/>
      <c r="FB167" s="472"/>
      <c r="FC167" s="18"/>
      <c r="FD167" s="18"/>
      <c r="FI167" s="18"/>
      <c r="FJ167" s="18"/>
      <c r="FK167" s="472"/>
      <c r="FL167" s="18"/>
      <c r="FM167" s="18"/>
      <c r="FR167" s="18"/>
      <c r="FS167" s="18"/>
      <c r="FT167" s="472"/>
      <c r="FU167" s="18"/>
      <c r="FV167" s="18"/>
      <c r="GA167" s="18"/>
      <c r="GB167" s="18"/>
      <c r="GC167" s="472"/>
      <c r="GD167" s="18"/>
      <c r="GE167" s="18"/>
      <c r="GJ167" s="18"/>
      <c r="GK167" s="18"/>
      <c r="GL167" s="472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4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2"/>
      <c r="JG167" s="18"/>
      <c r="JH167" s="18"/>
      <c r="JM167" s="476"/>
      <c r="JN167" s="476"/>
      <c r="JV167" s="476"/>
      <c r="JW167" s="476"/>
      <c r="JX167" s="477"/>
      <c r="JY167" s="476"/>
      <c r="JZ167" s="476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7"/>
      <c r="LI167" s="18"/>
      <c r="LJ167" s="18"/>
      <c r="LO167" s="476"/>
      <c r="LP167" s="476"/>
      <c r="LQ167" s="472"/>
      <c r="LR167" s="476"/>
      <c r="LS167" s="476"/>
      <c r="MG167" s="476"/>
      <c r="MH167" s="18"/>
      <c r="MI167" s="18"/>
      <c r="MJ167" s="479"/>
      <c r="ML167" s="18"/>
      <c r="MP167" s="18"/>
      <c r="MQ167" s="18"/>
      <c r="MR167" s="18"/>
      <c r="MS167" s="18"/>
      <c r="MT167" s="18"/>
      <c r="MY167" s="60"/>
      <c r="MZ167" s="3"/>
      <c r="NA167" s="487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1887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2375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4639</v>
      </c>
      <c r="BS168" s="60" t="s">
        <v>1419</v>
      </c>
      <c r="BT168" s="50"/>
      <c r="BX168" s="18"/>
      <c r="BY168" s="18"/>
      <c r="BZ168" s="472"/>
      <c r="CA168" s="18"/>
      <c r="CF168" s="18"/>
      <c r="CG168" s="18"/>
      <c r="CH168" s="472"/>
      <c r="CI168" s="18"/>
      <c r="CJ168" s="18"/>
      <c r="CO168" s="18"/>
      <c r="CP168" s="18"/>
      <c r="CQ168" s="472"/>
      <c r="CR168" s="18"/>
      <c r="CS168" s="18"/>
      <c r="CX168" s="18"/>
      <c r="CY168" s="18"/>
      <c r="CZ168" s="472"/>
      <c r="DA168" s="18"/>
      <c r="DB168" s="18"/>
      <c r="DG168" s="18"/>
      <c r="DH168" s="18"/>
      <c r="DI168" s="472"/>
      <c r="DJ168" s="18"/>
      <c r="DK168" s="18"/>
      <c r="DP168" s="1"/>
      <c r="DQ168" s="1"/>
      <c r="DR168" s="473"/>
      <c r="DS168" s="1"/>
      <c r="DT168" s="1"/>
      <c r="DY168" s="18"/>
      <c r="DZ168" s="18"/>
      <c r="EA168" s="472"/>
      <c r="EB168" s="18"/>
      <c r="EC168" s="18"/>
      <c r="EH168" s="18"/>
      <c r="EI168" s="18"/>
      <c r="EJ168" s="472"/>
      <c r="EK168" s="18"/>
      <c r="EL168" s="18"/>
      <c r="EQ168" s="18"/>
      <c r="ER168" s="18"/>
      <c r="ES168" s="472"/>
      <c r="ET168" s="18"/>
      <c r="EU168" s="18"/>
      <c r="EZ168" s="18"/>
      <c r="FA168" s="18"/>
      <c r="FB168" s="472"/>
      <c r="FC168" s="18"/>
      <c r="FD168" s="18"/>
      <c r="FI168" s="18"/>
      <c r="FJ168" s="18"/>
      <c r="FK168" s="472"/>
      <c r="FL168" s="18"/>
      <c r="FM168" s="18"/>
      <c r="FR168" s="18"/>
      <c r="FS168" s="18"/>
      <c r="FT168" s="472"/>
      <c r="FU168" s="18"/>
      <c r="FV168" s="18"/>
      <c r="GA168" s="18"/>
      <c r="GB168" s="18"/>
      <c r="GC168" s="472"/>
      <c r="GD168" s="18"/>
      <c r="GE168" s="18"/>
      <c r="GJ168" s="18"/>
      <c r="GK168" s="18"/>
      <c r="GL168" s="472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4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2"/>
      <c r="JG168" s="18"/>
      <c r="JH168" s="18"/>
      <c r="JM168" s="476"/>
      <c r="JN168" s="476"/>
      <c r="JV168" s="476"/>
      <c r="JW168" s="476"/>
      <c r="JX168" s="477"/>
      <c r="JY168" s="476"/>
      <c r="JZ168" s="476"/>
      <c r="KE168" s="18"/>
      <c r="KF168" s="18"/>
      <c r="KH168" s="18"/>
      <c r="KI168" s="18"/>
      <c r="KN168" s="18"/>
      <c r="KO168" s="18"/>
      <c r="KW168" s="18"/>
      <c r="KX168" s="18"/>
      <c r="LF168" s="482"/>
      <c r="LG168" s="18"/>
      <c r="LH168" s="477"/>
      <c r="LI168" s="18"/>
      <c r="LJ168" s="18"/>
      <c r="LO168" s="476"/>
      <c r="LP168" s="476"/>
      <c r="LQ168" s="472"/>
      <c r="LR168" s="476"/>
      <c r="LS168" s="476"/>
      <c r="MG168" s="476"/>
      <c r="MH168" s="18"/>
      <c r="MI168" s="18"/>
      <c r="MJ168" s="479"/>
      <c r="ML168" s="18"/>
      <c r="MP168" s="18"/>
      <c r="MQ168" s="18"/>
      <c r="MR168" s="18"/>
      <c r="MS168" s="18"/>
      <c r="MT168" s="18"/>
      <c r="MY168" s="484"/>
      <c r="MZ168" s="3"/>
      <c r="NA168" s="487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2358</v>
      </c>
      <c r="BI169" s="18"/>
      <c r="BK169" s="50"/>
      <c r="BN169" s="49" t="s">
        <v>4645</v>
      </c>
      <c r="BO169" s="9"/>
      <c r="BP169" s="63"/>
      <c r="BQ169" s="89"/>
      <c r="BR169" s="59"/>
      <c r="BS169" s="59"/>
      <c r="BT169" s="50"/>
      <c r="BX169" s="479"/>
      <c r="BY169" s="18"/>
      <c r="BZ169" s="472"/>
      <c r="CA169" s="18"/>
      <c r="CF169" s="479"/>
      <c r="CG169" s="18"/>
      <c r="CH169" s="472"/>
      <c r="CI169" s="18"/>
      <c r="CJ169" s="18"/>
      <c r="CO169" s="479"/>
      <c r="CP169" s="18"/>
      <c r="CQ169" s="472"/>
      <c r="CR169" s="18"/>
      <c r="CS169" s="18"/>
      <c r="CX169" s="479"/>
      <c r="CY169" s="18"/>
      <c r="CZ169" s="472"/>
      <c r="DA169" s="18"/>
      <c r="DB169" s="18"/>
      <c r="DG169" s="479"/>
      <c r="DH169" s="18"/>
      <c r="DI169" s="472"/>
      <c r="DJ169" s="18"/>
      <c r="DK169" s="18"/>
      <c r="DP169" s="481"/>
      <c r="DQ169" s="1"/>
      <c r="DR169" s="473"/>
      <c r="DS169" s="1"/>
      <c r="DT169" s="1"/>
      <c r="DY169" s="479"/>
      <c r="DZ169" s="18"/>
      <c r="EA169" s="472"/>
      <c r="EB169" s="18"/>
      <c r="EC169" s="18"/>
      <c r="EH169" s="479"/>
      <c r="EI169" s="18"/>
      <c r="EJ169" s="472"/>
      <c r="EK169" s="18"/>
      <c r="EL169" s="18"/>
      <c r="EQ169" s="479"/>
      <c r="ER169" s="18"/>
      <c r="ES169" s="472"/>
      <c r="ET169" s="18"/>
      <c r="EU169" s="18"/>
      <c r="EZ169" s="479"/>
      <c r="FA169" s="18"/>
      <c r="FB169" s="472"/>
      <c r="FC169" s="18"/>
      <c r="FD169" s="18"/>
      <c r="FI169" s="479"/>
      <c r="FJ169" s="18"/>
      <c r="FK169" s="472"/>
      <c r="FL169" s="18"/>
      <c r="FM169" s="18"/>
      <c r="FR169" s="482"/>
      <c r="FS169" s="18"/>
      <c r="FT169" s="472"/>
      <c r="FU169" s="18"/>
      <c r="FV169" s="18"/>
      <c r="GA169" s="479"/>
      <c r="GB169" s="18"/>
      <c r="GC169" s="472"/>
      <c r="GD169" s="18"/>
      <c r="GE169" s="18"/>
      <c r="GJ169" s="479"/>
      <c r="GK169" s="18"/>
      <c r="GL169" s="472"/>
      <c r="GM169" s="18"/>
      <c r="GN169" s="18"/>
      <c r="HB169" s="482"/>
      <c r="HC169" s="18"/>
      <c r="HE169" s="18"/>
      <c r="HF169" s="18"/>
      <c r="HK169" s="482"/>
      <c r="HL169" s="18"/>
      <c r="HN169" s="18"/>
      <c r="HO169" s="18"/>
      <c r="HT169" s="18"/>
      <c r="HU169" s="474"/>
      <c r="HW169" s="18"/>
      <c r="HX169" s="18"/>
      <c r="HY169" s="18"/>
      <c r="IL169" s="479"/>
      <c r="IM169" s="18"/>
      <c r="IO169" s="18"/>
      <c r="IP169" s="18"/>
      <c r="IU169" s="482"/>
      <c r="IV169" s="18"/>
      <c r="IX169" s="18"/>
      <c r="IY169" s="18"/>
      <c r="JD169" s="479"/>
      <c r="JE169" s="18"/>
      <c r="JF169" s="472"/>
      <c r="JG169" s="18"/>
      <c r="JH169" s="18"/>
      <c r="JM169" s="479"/>
      <c r="JN169" s="476"/>
      <c r="JV169" s="479"/>
      <c r="JW169" s="476"/>
      <c r="JX169" s="477"/>
      <c r="JY169" s="476"/>
      <c r="JZ169" s="476"/>
      <c r="KE169" s="482"/>
      <c r="KF169" s="18"/>
      <c r="KH169" s="18"/>
      <c r="KI169" s="18"/>
      <c r="KN169" s="482"/>
      <c r="KO169" s="18"/>
      <c r="KW169" s="482"/>
      <c r="KX169" s="18"/>
      <c r="LF169" s="18"/>
      <c r="LG169" s="18"/>
      <c r="LH169" s="477"/>
      <c r="LI169" s="18"/>
      <c r="LJ169" s="18"/>
      <c r="LO169" s="479"/>
      <c r="LP169" s="476"/>
      <c r="LQ169" s="472"/>
      <c r="LR169" s="476"/>
      <c r="LS169" s="476"/>
      <c r="MG169" s="476"/>
      <c r="MH169" s="18"/>
      <c r="MI169" s="18"/>
      <c r="MJ169" s="479"/>
      <c r="ML169" s="18"/>
      <c r="MP169" s="482"/>
      <c r="MQ169" s="18"/>
      <c r="MR169" s="18"/>
      <c r="MS169" s="18"/>
      <c r="MT169" s="18"/>
      <c r="MY169" s="3"/>
      <c r="MZ169" s="3"/>
      <c r="NA169" s="486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1888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2376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4640</v>
      </c>
      <c r="BS170" s="3" t="s">
        <v>1420</v>
      </c>
      <c r="BT170" s="50"/>
      <c r="BX170" s="18"/>
      <c r="BY170" s="18"/>
      <c r="BZ170" s="472"/>
      <c r="CA170" s="18"/>
      <c r="CF170" s="18"/>
      <c r="CG170" s="18"/>
      <c r="CH170" s="472"/>
      <c r="CI170" s="18"/>
      <c r="CJ170" s="18"/>
      <c r="CO170" s="18"/>
      <c r="CP170" s="18"/>
      <c r="CQ170" s="472"/>
      <c r="CR170" s="18"/>
      <c r="CS170" s="18"/>
      <c r="CX170" s="18"/>
      <c r="CY170" s="18"/>
      <c r="CZ170" s="472"/>
      <c r="DA170" s="18"/>
      <c r="DB170" s="18"/>
      <c r="DG170" s="18"/>
      <c r="DH170" s="18"/>
      <c r="DI170" s="472"/>
      <c r="DJ170" s="18"/>
      <c r="DK170" s="18"/>
      <c r="DP170" s="1"/>
      <c r="DQ170" s="1"/>
      <c r="DR170" s="473"/>
      <c r="DS170" s="1"/>
      <c r="DT170" s="1"/>
      <c r="DY170" s="18"/>
      <c r="DZ170" s="18"/>
      <c r="EA170" s="472"/>
      <c r="EB170" s="18"/>
      <c r="EC170" s="18"/>
      <c r="EH170" s="18"/>
      <c r="EI170" s="18"/>
      <c r="EJ170" s="472"/>
      <c r="EK170" s="18"/>
      <c r="EL170" s="18"/>
      <c r="EQ170" s="18"/>
      <c r="ER170" s="18"/>
      <c r="ES170" s="472"/>
      <c r="ET170" s="18"/>
      <c r="EU170" s="18"/>
      <c r="EZ170" s="18"/>
      <c r="FA170" s="18"/>
      <c r="FB170" s="472"/>
      <c r="FC170" s="18"/>
      <c r="FD170" s="18"/>
      <c r="FI170" s="18"/>
      <c r="FJ170" s="18"/>
      <c r="FK170" s="472"/>
      <c r="FL170" s="18"/>
      <c r="FM170" s="18"/>
      <c r="FR170" s="18"/>
      <c r="FS170" s="18"/>
      <c r="FT170" s="472"/>
      <c r="FU170" s="18"/>
      <c r="FV170" s="18"/>
      <c r="GA170" s="18"/>
      <c r="GB170" s="18"/>
      <c r="GC170" s="472"/>
      <c r="GD170" s="18"/>
      <c r="GE170" s="18"/>
      <c r="GJ170" s="18"/>
      <c r="GK170" s="18"/>
      <c r="GL170" s="472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4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2"/>
      <c r="JG170" s="18"/>
      <c r="JH170" s="18"/>
      <c r="JM170" s="476"/>
      <c r="JN170" s="476"/>
      <c r="JV170" s="476"/>
      <c r="JW170" s="476"/>
      <c r="JX170" s="477"/>
      <c r="JY170" s="476"/>
      <c r="JZ170" s="476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7"/>
      <c r="LI170" s="18"/>
      <c r="LJ170" s="18"/>
      <c r="LO170" s="476"/>
      <c r="LP170" s="476"/>
      <c r="LQ170" s="472"/>
      <c r="LR170" s="476"/>
      <c r="LS170" s="476"/>
      <c r="MG170" s="476"/>
      <c r="MH170" s="18"/>
      <c r="MI170" s="18"/>
      <c r="MJ170" s="479"/>
      <c r="ML170" s="18"/>
      <c r="MP170" s="18"/>
      <c r="MQ170" s="18"/>
      <c r="MR170" s="18"/>
      <c r="MS170" s="18"/>
      <c r="MT170" s="18"/>
      <c r="MY170" s="3"/>
      <c r="MZ170" s="3"/>
      <c r="NA170" s="487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2358</v>
      </c>
      <c r="BI171" s="18"/>
      <c r="BK171" s="50"/>
      <c r="BN171" s="49" t="s">
        <v>4625</v>
      </c>
      <c r="BO171" s="9"/>
      <c r="BP171" s="63"/>
      <c r="BQ171" s="89"/>
      <c r="BR171" s="59"/>
      <c r="BS171" s="59"/>
      <c r="BT171" s="50"/>
      <c r="BX171" s="351"/>
      <c r="BY171" s="18"/>
      <c r="BZ171" s="472"/>
      <c r="CA171" s="18"/>
      <c r="CF171" s="351"/>
      <c r="CG171" s="18"/>
      <c r="CH171" s="472"/>
      <c r="CI171" s="18"/>
      <c r="CJ171" s="18"/>
      <c r="CO171" s="351"/>
      <c r="CP171" s="18"/>
      <c r="CQ171" s="472"/>
      <c r="CR171" s="18"/>
      <c r="CS171" s="18"/>
      <c r="CX171" s="351"/>
      <c r="CY171" s="18"/>
      <c r="CZ171" s="472"/>
      <c r="DA171" s="18"/>
      <c r="DB171" s="18"/>
      <c r="DG171" s="351"/>
      <c r="DH171" s="18"/>
      <c r="DI171" s="472"/>
      <c r="DJ171" s="18"/>
      <c r="DK171" s="18"/>
      <c r="DP171" s="381"/>
      <c r="DQ171" s="1"/>
      <c r="DR171" s="473"/>
      <c r="DS171" s="1"/>
      <c r="DT171" s="1"/>
      <c r="DY171" s="351"/>
      <c r="DZ171" s="18"/>
      <c r="EA171" s="472"/>
      <c r="EB171" s="18"/>
      <c r="EC171" s="18"/>
      <c r="EH171" s="351"/>
      <c r="EI171" s="18"/>
      <c r="EJ171" s="472"/>
      <c r="EK171" s="18"/>
      <c r="EL171" s="18"/>
      <c r="EQ171" s="351"/>
      <c r="ER171" s="18"/>
      <c r="ES171" s="472"/>
      <c r="ET171" s="18"/>
      <c r="EU171" s="18"/>
      <c r="EZ171" s="351"/>
      <c r="FA171" s="18"/>
      <c r="FB171" s="472"/>
      <c r="FC171" s="18"/>
      <c r="FD171" s="18"/>
      <c r="FI171" s="351"/>
      <c r="FJ171" s="18"/>
      <c r="FK171" s="472"/>
      <c r="FL171" s="18"/>
      <c r="FM171" s="18"/>
      <c r="FR171" s="351"/>
      <c r="FS171" s="18"/>
      <c r="FT171" s="472"/>
      <c r="FU171" s="18"/>
      <c r="FV171" s="18"/>
      <c r="GA171" s="351"/>
      <c r="GB171" s="18"/>
      <c r="GC171" s="472"/>
      <c r="GD171" s="18"/>
      <c r="GE171" s="18"/>
      <c r="GJ171" s="351"/>
      <c r="GK171" s="18"/>
      <c r="GL171" s="472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4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2"/>
      <c r="JG171" s="18"/>
      <c r="JH171" s="18"/>
      <c r="JM171" s="475"/>
      <c r="JN171" s="476"/>
      <c r="JV171" s="475"/>
      <c r="JW171" s="476"/>
      <c r="JX171" s="477"/>
      <c r="JY171" s="476"/>
      <c r="JZ171" s="476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8"/>
      <c r="LI171" s="18"/>
      <c r="LJ171" s="18"/>
      <c r="LO171" s="475"/>
      <c r="LP171" s="476"/>
      <c r="LQ171" s="472"/>
      <c r="LR171" s="476"/>
      <c r="LS171" s="476"/>
      <c r="MG171" s="476"/>
      <c r="MH171" s="18"/>
      <c r="MI171" s="18"/>
      <c r="MJ171" s="479"/>
      <c r="ML171" s="18"/>
      <c r="MP171" s="351"/>
      <c r="MQ171" s="18"/>
      <c r="MR171" s="18"/>
      <c r="MS171" s="18"/>
      <c r="MT171" s="18"/>
      <c r="MZ171" s="3"/>
      <c r="NA171" s="480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1889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2378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4641</v>
      </c>
      <c r="BS172" s="3" t="s">
        <v>1421</v>
      </c>
      <c r="BT172" s="50"/>
      <c r="BX172" s="18"/>
      <c r="BY172" s="18"/>
      <c r="BZ172" s="472"/>
      <c r="CA172" s="18"/>
      <c r="CF172" s="18"/>
      <c r="CG172" s="18"/>
      <c r="CH172" s="472"/>
      <c r="CI172" s="18"/>
      <c r="CJ172" s="18"/>
      <c r="CO172" s="18"/>
      <c r="CP172" s="18"/>
      <c r="CQ172" s="472"/>
      <c r="CR172" s="18"/>
      <c r="CS172" s="18"/>
      <c r="CX172" s="18"/>
      <c r="CY172" s="18"/>
      <c r="CZ172" s="472"/>
      <c r="DA172" s="18"/>
      <c r="DB172" s="18"/>
      <c r="DG172" s="18"/>
      <c r="DH172" s="18"/>
      <c r="DI172" s="472"/>
      <c r="DJ172" s="18"/>
      <c r="DK172" s="18"/>
      <c r="DP172" s="1"/>
      <c r="DQ172" s="1"/>
      <c r="DR172" s="473"/>
      <c r="DS172" s="1"/>
      <c r="DT172" s="1"/>
      <c r="DY172" s="18"/>
      <c r="DZ172" s="18"/>
      <c r="EA172" s="472"/>
      <c r="EB172" s="18"/>
      <c r="EC172" s="18"/>
      <c r="EH172" s="18"/>
      <c r="EI172" s="18"/>
      <c r="EJ172" s="472"/>
      <c r="EK172" s="18"/>
      <c r="EL172" s="18"/>
      <c r="EQ172" s="18"/>
      <c r="ER172" s="18"/>
      <c r="ES172" s="472"/>
      <c r="ET172" s="18"/>
      <c r="EU172" s="18"/>
      <c r="EZ172" s="18"/>
      <c r="FA172" s="18"/>
      <c r="FB172" s="472"/>
      <c r="FC172" s="18"/>
      <c r="FD172" s="18"/>
      <c r="FI172" s="18"/>
      <c r="FJ172" s="18"/>
      <c r="FK172" s="472"/>
      <c r="FL172" s="18"/>
      <c r="FM172" s="18"/>
      <c r="FR172" s="18"/>
      <c r="FS172" s="18"/>
      <c r="FT172" s="472"/>
      <c r="FU172" s="18"/>
      <c r="FV172" s="18"/>
      <c r="GA172" s="18"/>
      <c r="GB172" s="18"/>
      <c r="GC172" s="472"/>
      <c r="GD172" s="18"/>
      <c r="GE172" s="18"/>
      <c r="GJ172" s="18"/>
      <c r="GK172" s="18"/>
      <c r="GL172" s="472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4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3"/>
      <c r="JG172" s="18"/>
      <c r="JH172" s="18"/>
      <c r="JM172" s="476"/>
      <c r="JN172" s="476"/>
      <c r="JV172" s="476"/>
      <c r="JW172" s="476"/>
      <c r="JX172" s="477"/>
      <c r="JY172" s="476"/>
      <c r="JZ172" s="476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7"/>
      <c r="LI172" s="18"/>
      <c r="LJ172" s="18"/>
      <c r="LO172" s="476"/>
      <c r="LP172" s="476"/>
      <c r="LQ172" s="472"/>
      <c r="LR172" s="476"/>
      <c r="LS172" s="476"/>
      <c r="MG172" s="476"/>
      <c r="MH172" s="18"/>
      <c r="MI172" s="18"/>
      <c r="MJ172" s="479"/>
      <c r="ML172" s="18"/>
      <c r="MP172" s="18"/>
      <c r="MQ172" s="18"/>
      <c r="MR172" s="18"/>
      <c r="MS172" s="18"/>
      <c r="MT172" s="18"/>
      <c r="MY172" s="3"/>
      <c r="MZ172" s="3"/>
      <c r="NA172" s="487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2377</v>
      </c>
      <c r="BI173" s="18"/>
      <c r="BK173" s="50"/>
      <c r="BN173" s="49" t="s">
        <v>4625</v>
      </c>
      <c r="BO173" s="9"/>
      <c r="BP173" s="63"/>
      <c r="BQ173" s="89"/>
      <c r="BR173" s="59"/>
      <c r="BS173" s="59"/>
      <c r="BT173" s="50"/>
      <c r="BX173" s="18"/>
      <c r="BY173" s="18"/>
      <c r="BZ173" s="472"/>
      <c r="CA173" s="18"/>
      <c r="CF173" s="18"/>
      <c r="CG173" s="18"/>
      <c r="CH173" s="472"/>
      <c r="CI173" s="18"/>
      <c r="CJ173" s="18"/>
      <c r="CO173" s="18"/>
      <c r="CP173" s="18"/>
      <c r="CQ173" s="472"/>
      <c r="CR173" s="18"/>
      <c r="CS173" s="18"/>
      <c r="CX173" s="18"/>
      <c r="CY173" s="18"/>
      <c r="CZ173" s="472"/>
      <c r="DA173" s="18"/>
      <c r="DB173" s="18"/>
      <c r="DG173" s="18"/>
      <c r="DH173" s="18"/>
      <c r="DI173" s="472"/>
      <c r="DJ173" s="18"/>
      <c r="DK173" s="18"/>
      <c r="DP173" s="1"/>
      <c r="DQ173" s="1"/>
      <c r="DR173" s="473"/>
      <c r="DS173" s="1"/>
      <c r="DT173" s="1"/>
      <c r="DY173" s="18"/>
      <c r="DZ173" s="18"/>
      <c r="EA173" s="472"/>
      <c r="EB173" s="18"/>
      <c r="EC173" s="18"/>
      <c r="EH173" s="18"/>
      <c r="EI173" s="18"/>
      <c r="EJ173" s="472"/>
      <c r="EK173" s="18"/>
      <c r="EL173" s="18"/>
      <c r="EQ173" s="18"/>
      <c r="ER173" s="18"/>
      <c r="ES173" s="472"/>
      <c r="ET173" s="18"/>
      <c r="EU173" s="18"/>
      <c r="EZ173" s="18"/>
      <c r="FA173" s="18"/>
      <c r="FB173" s="472"/>
      <c r="FC173" s="18"/>
      <c r="FD173" s="18"/>
      <c r="FI173" s="18"/>
      <c r="FJ173" s="18"/>
      <c r="FK173" s="472"/>
      <c r="FL173" s="18"/>
      <c r="FM173" s="18"/>
      <c r="FR173" s="18"/>
      <c r="FS173" s="18"/>
      <c r="FT173" s="472"/>
      <c r="FU173" s="18"/>
      <c r="FV173" s="18"/>
      <c r="GA173" s="18"/>
      <c r="GB173" s="18"/>
      <c r="GC173" s="472"/>
      <c r="GD173" s="18"/>
      <c r="GE173" s="18"/>
      <c r="GJ173" s="18"/>
      <c r="GK173" s="18"/>
      <c r="GL173" s="472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4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2"/>
      <c r="JG173" s="18"/>
      <c r="JH173" s="18"/>
      <c r="JM173" s="476"/>
      <c r="JN173" s="476"/>
      <c r="JV173" s="476"/>
      <c r="JW173" s="476"/>
      <c r="JX173" s="477"/>
      <c r="JY173" s="476"/>
      <c r="JZ173" s="476"/>
      <c r="KE173" s="18"/>
      <c r="KF173" s="18"/>
      <c r="KH173" s="18"/>
      <c r="KI173" s="18"/>
      <c r="KN173" s="18"/>
      <c r="KO173" s="18"/>
      <c r="KW173" s="18"/>
      <c r="KX173" s="18"/>
      <c r="LF173" s="482"/>
      <c r="LG173" s="18"/>
      <c r="LH173" s="477"/>
      <c r="LI173" s="18"/>
      <c r="LJ173" s="18"/>
      <c r="LO173" s="476"/>
      <c r="LP173" s="476"/>
      <c r="LQ173" s="472"/>
      <c r="LR173" s="476"/>
      <c r="LS173" s="476"/>
      <c r="MG173" s="476"/>
      <c r="MH173" s="18"/>
      <c r="MI173" s="18"/>
      <c r="MJ173" s="479"/>
      <c r="ML173" s="18"/>
      <c r="MP173" s="18"/>
      <c r="MQ173" s="18"/>
      <c r="MR173" s="18"/>
      <c r="MS173" s="18"/>
      <c r="MT173" s="18"/>
      <c r="MY173" s="484"/>
      <c r="MZ173" s="3"/>
      <c r="NA173" s="487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1890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2379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4642</v>
      </c>
      <c r="BS174" s="3" t="s">
        <v>1422</v>
      </c>
      <c r="BT174" s="50"/>
      <c r="BX174" s="18"/>
      <c r="BY174" s="18"/>
      <c r="BZ174" s="472"/>
      <c r="CA174" s="18"/>
      <c r="CF174" s="18"/>
      <c r="CG174" s="18"/>
      <c r="CH174" s="472"/>
      <c r="CI174" s="18"/>
      <c r="CJ174" s="18"/>
      <c r="CO174" s="18"/>
      <c r="CP174" s="18"/>
      <c r="CQ174" s="472"/>
      <c r="CR174" s="18"/>
      <c r="CS174" s="18"/>
      <c r="CX174" s="18"/>
      <c r="CY174" s="18"/>
      <c r="CZ174" s="472"/>
      <c r="DA174" s="18"/>
      <c r="DB174" s="18"/>
      <c r="DG174" s="18"/>
      <c r="DH174" s="18"/>
      <c r="DI174" s="472"/>
      <c r="DJ174" s="18"/>
      <c r="DK174" s="18"/>
      <c r="DP174" s="1"/>
      <c r="DQ174" s="1"/>
      <c r="DR174" s="473"/>
      <c r="DS174" s="1"/>
      <c r="DT174" s="1"/>
      <c r="DY174" s="18"/>
      <c r="DZ174" s="18"/>
      <c r="EA174" s="472"/>
      <c r="EB174" s="18"/>
      <c r="EC174" s="18"/>
      <c r="EH174" s="18"/>
      <c r="EI174" s="18"/>
      <c r="EJ174" s="472"/>
      <c r="EK174" s="18"/>
      <c r="EL174" s="18"/>
      <c r="EQ174" s="18"/>
      <c r="ER174" s="18"/>
      <c r="ES174" s="472"/>
      <c r="ET174" s="18"/>
      <c r="EU174" s="18"/>
      <c r="EZ174" s="18"/>
      <c r="FA174" s="18"/>
      <c r="FB174" s="472"/>
      <c r="FC174" s="18"/>
      <c r="FD174" s="18"/>
      <c r="FI174" s="18"/>
      <c r="FJ174" s="18"/>
      <c r="FK174" s="472"/>
      <c r="FL174" s="18"/>
      <c r="FM174" s="18"/>
      <c r="FR174" s="18"/>
      <c r="FS174" s="18"/>
      <c r="FT174" s="472"/>
      <c r="FU174" s="18"/>
      <c r="FV174" s="18"/>
      <c r="GA174" s="18"/>
      <c r="GB174" s="18"/>
      <c r="GC174" s="472"/>
      <c r="GD174" s="18"/>
      <c r="GE174" s="18"/>
      <c r="GJ174" s="18"/>
      <c r="GK174" s="18"/>
      <c r="GL174" s="472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4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9"/>
      <c r="JE174" s="18"/>
      <c r="JF174" s="472"/>
      <c r="JG174" s="18"/>
      <c r="JH174" s="18"/>
      <c r="JM174" s="476"/>
      <c r="JN174" s="476"/>
      <c r="JV174" s="476"/>
      <c r="JW174" s="476"/>
      <c r="JX174" s="477"/>
      <c r="JY174" s="476"/>
      <c r="JZ174" s="476"/>
      <c r="KE174" s="18"/>
      <c r="KF174" s="18"/>
      <c r="KH174" s="18"/>
      <c r="KI174" s="18"/>
      <c r="KN174" s="18"/>
      <c r="KO174" s="18"/>
      <c r="KW174" s="18"/>
      <c r="KX174" s="18"/>
      <c r="LF174" s="482"/>
      <c r="LG174" s="18"/>
      <c r="LH174" s="477"/>
      <c r="LI174" s="18"/>
      <c r="LJ174" s="18"/>
      <c r="LO174" s="476"/>
      <c r="LP174" s="476"/>
      <c r="LQ174" s="472"/>
      <c r="LR174" s="476"/>
      <c r="LS174" s="476"/>
      <c r="MG174" s="476"/>
      <c r="MH174" s="18"/>
      <c r="MI174" s="18"/>
      <c r="MJ174" s="479"/>
      <c r="ML174" s="18"/>
      <c r="MP174" s="18"/>
      <c r="MQ174" s="18"/>
      <c r="MR174" s="18"/>
      <c r="MS174" s="18"/>
      <c r="MT174" s="18"/>
      <c r="MY174" s="484"/>
      <c r="MZ174" s="63"/>
      <c r="NA174" s="486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2358</v>
      </c>
      <c r="BI175" s="18"/>
      <c r="BK175" s="50"/>
      <c r="BN175" s="49" t="s">
        <v>4625</v>
      </c>
      <c r="BO175" s="9"/>
      <c r="BP175" s="63"/>
      <c r="BQ175" s="89"/>
      <c r="BR175" s="59"/>
      <c r="BS175" s="59"/>
      <c r="BT175" s="50"/>
      <c r="BX175" s="351"/>
      <c r="BY175" s="18"/>
      <c r="BZ175" s="472"/>
      <c r="CA175" s="18"/>
      <c r="CF175" s="351"/>
      <c r="CG175" s="18"/>
      <c r="CH175" s="472"/>
      <c r="CI175" s="18"/>
      <c r="CJ175" s="18"/>
      <c r="CO175" s="351"/>
      <c r="CP175" s="18"/>
      <c r="CQ175" s="472"/>
      <c r="CR175" s="18"/>
      <c r="CS175" s="18"/>
      <c r="CX175" s="351"/>
      <c r="CY175" s="18"/>
      <c r="CZ175" s="472"/>
      <c r="DA175" s="18"/>
      <c r="DB175" s="18"/>
      <c r="DG175" s="351"/>
      <c r="DH175" s="18"/>
      <c r="DI175" s="472"/>
      <c r="DJ175" s="18"/>
      <c r="DK175" s="18"/>
      <c r="DP175" s="381"/>
      <c r="DQ175" s="1"/>
      <c r="DR175" s="473"/>
      <c r="DS175" s="1"/>
      <c r="DT175" s="1"/>
      <c r="DY175" s="351"/>
      <c r="DZ175" s="18"/>
      <c r="EA175" s="472"/>
      <c r="EB175" s="18"/>
      <c r="EC175" s="18"/>
      <c r="EH175" s="351"/>
      <c r="EI175" s="18"/>
      <c r="EJ175" s="472"/>
      <c r="EK175" s="18"/>
      <c r="EL175" s="18"/>
      <c r="EQ175" s="351"/>
      <c r="ER175" s="18"/>
      <c r="ES175" s="472"/>
      <c r="ET175" s="18"/>
      <c r="EU175" s="18"/>
      <c r="EZ175" s="351"/>
      <c r="FA175" s="18"/>
      <c r="FB175" s="472"/>
      <c r="FC175" s="18"/>
      <c r="FD175" s="18"/>
      <c r="FI175" s="351"/>
      <c r="FJ175" s="18"/>
      <c r="FK175" s="472"/>
      <c r="FL175" s="18"/>
      <c r="FM175" s="18"/>
      <c r="FR175" s="351"/>
      <c r="FS175" s="18"/>
      <c r="FT175" s="472"/>
      <c r="FU175" s="18"/>
      <c r="FV175" s="18"/>
      <c r="GA175" s="351"/>
      <c r="GB175" s="18"/>
      <c r="GC175" s="472"/>
      <c r="GD175" s="18"/>
      <c r="GE175" s="18"/>
      <c r="GJ175" s="351"/>
      <c r="GK175" s="18"/>
      <c r="GL175" s="472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4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9"/>
      <c r="JE175" s="18"/>
      <c r="JF175" s="472"/>
      <c r="JG175" s="18"/>
      <c r="JH175" s="18"/>
      <c r="JM175" s="475"/>
      <c r="JN175" s="476"/>
      <c r="JV175" s="475"/>
      <c r="JW175" s="476"/>
      <c r="JX175" s="477"/>
      <c r="JY175" s="476"/>
      <c r="JZ175" s="476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7"/>
      <c r="LI175" s="18"/>
      <c r="LJ175" s="18"/>
      <c r="LO175" s="475"/>
      <c r="LP175" s="476"/>
      <c r="LQ175" s="472"/>
      <c r="LR175" s="476"/>
      <c r="LS175" s="476"/>
      <c r="MG175" s="476"/>
      <c r="MH175" s="18"/>
      <c r="MI175" s="18"/>
      <c r="MJ175" s="479"/>
      <c r="ML175" s="18"/>
      <c r="MP175" s="351"/>
      <c r="MQ175" s="18"/>
      <c r="MR175" s="18"/>
      <c r="MS175" s="18"/>
      <c r="MT175" s="18"/>
      <c r="MY175" s="3"/>
      <c r="MZ175" s="63"/>
      <c r="NA175" s="486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1891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2380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4643</v>
      </c>
      <c r="BS176" s="3" t="s">
        <v>1423</v>
      </c>
      <c r="BT176" s="50"/>
      <c r="BX176" s="351"/>
      <c r="BY176" s="18"/>
      <c r="BZ176" s="472"/>
      <c r="CA176" s="18"/>
      <c r="CF176" s="351"/>
      <c r="CG176" s="18"/>
      <c r="CH176" s="472"/>
      <c r="CI176" s="18"/>
      <c r="CJ176" s="18"/>
      <c r="CO176" s="351"/>
      <c r="CP176" s="18"/>
      <c r="CQ176" s="472"/>
      <c r="CR176" s="18"/>
      <c r="CS176" s="18"/>
      <c r="CX176" s="351"/>
      <c r="CY176" s="18"/>
      <c r="CZ176" s="472"/>
      <c r="DA176" s="18"/>
      <c r="DB176" s="18"/>
      <c r="DG176" s="351"/>
      <c r="DH176" s="18"/>
      <c r="DI176" s="472"/>
      <c r="DJ176" s="18"/>
      <c r="DK176" s="18"/>
      <c r="DP176" s="381"/>
      <c r="DQ176" s="1"/>
      <c r="DR176" s="473"/>
      <c r="DS176" s="1"/>
      <c r="DT176" s="1"/>
      <c r="DY176" s="351"/>
      <c r="DZ176" s="18"/>
      <c r="EA176" s="472"/>
      <c r="EB176" s="18"/>
      <c r="EC176" s="18"/>
      <c r="EH176" s="351"/>
      <c r="EI176" s="18"/>
      <c r="EJ176" s="472"/>
      <c r="EK176" s="18"/>
      <c r="EL176" s="18"/>
      <c r="EQ176" s="351"/>
      <c r="ER176" s="18"/>
      <c r="ES176" s="472"/>
      <c r="ET176" s="18"/>
      <c r="EU176" s="18"/>
      <c r="EZ176" s="351"/>
      <c r="FA176" s="18"/>
      <c r="FB176" s="472"/>
      <c r="FC176" s="18"/>
      <c r="FD176" s="18"/>
      <c r="FI176" s="351"/>
      <c r="FJ176" s="18"/>
      <c r="FK176" s="472"/>
      <c r="FL176" s="18"/>
      <c r="FM176" s="18"/>
      <c r="FR176" s="351"/>
      <c r="FS176" s="18"/>
      <c r="FT176" s="472"/>
      <c r="FU176" s="18"/>
      <c r="FV176" s="18"/>
      <c r="GA176" s="351"/>
      <c r="GB176" s="18"/>
      <c r="GC176" s="472"/>
      <c r="GD176" s="18"/>
      <c r="GE176" s="18"/>
      <c r="GJ176" s="351"/>
      <c r="GK176" s="18"/>
      <c r="GL176" s="472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4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2"/>
      <c r="JG176" s="18"/>
      <c r="JH176" s="18"/>
      <c r="JM176" s="475"/>
      <c r="JN176" s="476"/>
      <c r="JV176" s="475"/>
      <c r="JW176" s="476"/>
      <c r="JX176" s="477"/>
      <c r="JY176" s="476"/>
      <c r="JZ176" s="476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7"/>
      <c r="LI176" s="18"/>
      <c r="LJ176" s="18"/>
      <c r="LO176" s="475"/>
      <c r="LP176" s="476"/>
      <c r="LQ176" s="472"/>
      <c r="LR176" s="476"/>
      <c r="LS176" s="476"/>
      <c r="MG176" s="476"/>
      <c r="MH176" s="18"/>
      <c r="MI176" s="18"/>
      <c r="MJ176" s="479"/>
      <c r="ML176" s="18"/>
      <c r="MP176" s="351"/>
      <c r="MQ176" s="18"/>
      <c r="MR176" s="18"/>
      <c r="MS176" s="18"/>
      <c r="MT176" s="18"/>
      <c r="MY176" s="3"/>
      <c r="MZ176" s="3"/>
      <c r="NA176" s="487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2358</v>
      </c>
      <c r="BI177" s="18"/>
      <c r="BK177" s="50"/>
      <c r="BN177" s="49" t="s">
        <v>4645</v>
      </c>
      <c r="BO177" s="63"/>
      <c r="BP177" s="63"/>
      <c r="BQ177" s="89"/>
      <c r="BR177" s="59"/>
      <c r="BS177" s="59"/>
      <c r="BT177" s="50"/>
      <c r="BX177" s="479"/>
      <c r="BY177" s="18"/>
      <c r="BZ177" s="472"/>
      <c r="CA177" s="18"/>
      <c r="CF177" s="479"/>
      <c r="CG177" s="18"/>
      <c r="CH177" s="472"/>
      <c r="CI177" s="18"/>
      <c r="CJ177" s="18"/>
      <c r="CO177" s="479"/>
      <c r="CP177" s="18"/>
      <c r="CQ177" s="472"/>
      <c r="CR177" s="18"/>
      <c r="CS177" s="18"/>
      <c r="CX177" s="479"/>
      <c r="CY177" s="18"/>
      <c r="CZ177" s="472"/>
      <c r="DA177" s="18"/>
      <c r="DB177" s="18"/>
      <c r="DG177" s="479"/>
      <c r="DH177" s="18"/>
      <c r="DI177" s="472"/>
      <c r="DJ177" s="18"/>
      <c r="DK177" s="18"/>
      <c r="DP177" s="481"/>
      <c r="DQ177" s="1"/>
      <c r="DR177" s="473"/>
      <c r="DS177" s="1"/>
      <c r="DT177" s="1"/>
      <c r="DY177" s="479"/>
      <c r="DZ177" s="18"/>
      <c r="EA177" s="472"/>
      <c r="EB177" s="18"/>
      <c r="EC177" s="18"/>
      <c r="EH177" s="479"/>
      <c r="EI177" s="18"/>
      <c r="EJ177" s="472"/>
      <c r="EK177" s="18"/>
      <c r="EL177" s="18"/>
      <c r="EQ177" s="479"/>
      <c r="ER177" s="18"/>
      <c r="ES177" s="472"/>
      <c r="ET177" s="18"/>
      <c r="EU177" s="18"/>
      <c r="EZ177" s="479"/>
      <c r="FA177" s="18"/>
      <c r="FB177" s="472"/>
      <c r="FC177" s="18"/>
      <c r="FD177" s="18"/>
      <c r="FI177" s="479"/>
      <c r="FJ177" s="18"/>
      <c r="FK177" s="472"/>
      <c r="FL177" s="18"/>
      <c r="FM177" s="18"/>
      <c r="FR177" s="482"/>
      <c r="FS177" s="18"/>
      <c r="FT177" s="472"/>
      <c r="FU177" s="18"/>
      <c r="FV177" s="18"/>
      <c r="GA177" s="479"/>
      <c r="GB177" s="18"/>
      <c r="GC177" s="472"/>
      <c r="GD177" s="18"/>
      <c r="GE177" s="18"/>
      <c r="GJ177" s="479"/>
      <c r="GK177" s="18"/>
      <c r="GL177" s="472"/>
      <c r="GM177" s="18"/>
      <c r="GN177" s="18"/>
      <c r="HB177" s="482"/>
      <c r="HC177" s="18"/>
      <c r="HE177" s="18"/>
      <c r="HF177" s="18"/>
      <c r="HK177" s="482"/>
      <c r="HL177" s="18"/>
      <c r="HN177" s="18"/>
      <c r="HO177" s="18"/>
      <c r="HT177" s="18"/>
      <c r="HU177" s="474"/>
      <c r="HW177" s="18"/>
      <c r="HX177" s="18"/>
      <c r="HY177" s="18"/>
      <c r="IL177" s="479"/>
      <c r="IM177" s="18"/>
      <c r="IO177" s="18"/>
      <c r="IP177" s="18"/>
      <c r="IU177" s="482"/>
      <c r="IV177" s="18"/>
      <c r="IX177" s="18"/>
      <c r="IY177" s="18"/>
      <c r="JD177" s="18"/>
      <c r="JE177" s="18"/>
      <c r="JF177" s="472"/>
      <c r="JG177" s="18"/>
      <c r="JH177" s="18"/>
      <c r="JM177" s="479"/>
      <c r="JN177" s="476"/>
      <c r="JV177" s="479"/>
      <c r="JW177" s="476"/>
      <c r="JX177" s="477"/>
      <c r="JY177" s="476"/>
      <c r="JZ177" s="476"/>
      <c r="KE177" s="482"/>
      <c r="KF177" s="18"/>
      <c r="KH177" s="18"/>
      <c r="KI177" s="18"/>
      <c r="KN177" s="482"/>
      <c r="KO177" s="18"/>
      <c r="KW177" s="482"/>
      <c r="KX177" s="18"/>
      <c r="LF177" s="351"/>
      <c r="LG177" s="18"/>
      <c r="LH177" s="477"/>
      <c r="LI177" s="18"/>
      <c r="LJ177" s="18"/>
      <c r="LO177" s="479"/>
      <c r="LP177" s="476"/>
      <c r="LQ177" s="472"/>
      <c r="LR177" s="476"/>
      <c r="LS177" s="476"/>
      <c r="MG177" s="476"/>
      <c r="MH177" s="18"/>
      <c r="MI177" s="18"/>
      <c r="MJ177" s="479"/>
      <c r="ML177" s="18"/>
      <c r="MP177" s="482"/>
      <c r="MQ177" s="18"/>
      <c r="MR177" s="18"/>
      <c r="MS177" s="18"/>
      <c r="MT177" s="18"/>
      <c r="MY177" s="60"/>
      <c r="MZ177" s="3"/>
      <c r="NA177" s="487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1892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2381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4644</v>
      </c>
      <c r="BS178" s="3" t="s">
        <v>1424</v>
      </c>
      <c r="BT178" s="50"/>
      <c r="BX178" s="18"/>
      <c r="BY178" s="18"/>
      <c r="BZ178" s="472"/>
      <c r="CA178" s="18"/>
      <c r="CF178" s="18"/>
      <c r="CG178" s="18"/>
      <c r="CH178" s="472"/>
      <c r="CI178" s="18"/>
      <c r="CJ178" s="18"/>
      <c r="CO178" s="18"/>
      <c r="CP178" s="18"/>
      <c r="CQ178" s="472"/>
      <c r="CR178" s="18"/>
      <c r="CS178" s="18"/>
      <c r="CX178" s="18"/>
      <c r="CY178" s="18"/>
      <c r="CZ178" s="472"/>
      <c r="DA178" s="18"/>
      <c r="DB178" s="18"/>
      <c r="DG178" s="18"/>
      <c r="DH178" s="18"/>
      <c r="DI178" s="472"/>
      <c r="DJ178" s="18"/>
      <c r="DK178" s="18"/>
      <c r="DP178" s="1"/>
      <c r="DQ178" s="1"/>
      <c r="DR178" s="473"/>
      <c r="DS178" s="1"/>
      <c r="DT178" s="1"/>
      <c r="DY178" s="18"/>
      <c r="DZ178" s="18"/>
      <c r="EA178" s="472"/>
      <c r="EB178" s="18"/>
      <c r="EC178" s="18"/>
      <c r="EH178" s="18"/>
      <c r="EI178" s="18"/>
      <c r="EJ178" s="472"/>
      <c r="EK178" s="18"/>
      <c r="EL178" s="18"/>
      <c r="EQ178" s="18"/>
      <c r="ER178" s="18"/>
      <c r="ES178" s="472"/>
      <c r="ET178" s="18"/>
      <c r="EU178" s="18"/>
      <c r="EZ178" s="18"/>
      <c r="FA178" s="18"/>
      <c r="FB178" s="472"/>
      <c r="FC178" s="18"/>
      <c r="FD178" s="18"/>
      <c r="FI178" s="18"/>
      <c r="FJ178" s="18"/>
      <c r="FK178" s="472"/>
      <c r="FL178" s="18"/>
      <c r="FM178" s="18"/>
      <c r="FR178" s="18"/>
      <c r="FS178" s="18"/>
      <c r="FT178" s="472"/>
      <c r="FU178" s="18"/>
      <c r="FV178" s="18"/>
      <c r="GA178" s="18"/>
      <c r="GB178" s="18"/>
      <c r="GC178" s="472"/>
      <c r="GD178" s="18"/>
      <c r="GE178" s="18"/>
      <c r="GJ178" s="18"/>
      <c r="GK178" s="18"/>
      <c r="GL178" s="472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4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2"/>
      <c r="JG178" s="18"/>
      <c r="JH178" s="18"/>
      <c r="JM178" s="476"/>
      <c r="JN178" s="476"/>
      <c r="JV178" s="476"/>
      <c r="JW178" s="476"/>
      <c r="JX178" s="477"/>
      <c r="JY178" s="476"/>
      <c r="JZ178" s="476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7"/>
      <c r="LI178" s="18"/>
      <c r="LJ178" s="18"/>
      <c r="LO178" s="476"/>
      <c r="LP178" s="476"/>
      <c r="LQ178" s="472"/>
      <c r="LR178" s="476"/>
      <c r="LS178" s="476"/>
      <c r="MG178" s="476"/>
      <c r="MH178" s="18"/>
      <c r="MI178" s="18"/>
      <c r="MJ178" s="479"/>
      <c r="ML178" s="18"/>
      <c r="MP178" s="18"/>
      <c r="MQ178" s="18"/>
      <c r="MR178" s="18"/>
      <c r="MS178" s="18"/>
      <c r="MT178" s="18"/>
      <c r="MY178" s="60"/>
      <c r="MZ178" s="3"/>
      <c r="NA178" s="487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2377</v>
      </c>
      <c r="BI179" s="18"/>
      <c r="BK179" s="50"/>
      <c r="BN179" s="49" t="s">
        <v>4625</v>
      </c>
      <c r="BO179" s="9"/>
      <c r="BP179" s="63"/>
      <c r="BQ179" s="89"/>
      <c r="BR179" s="59"/>
      <c r="BS179" s="59"/>
      <c r="BT179" s="50"/>
      <c r="BX179" s="18"/>
      <c r="BY179" s="18"/>
      <c r="BZ179" s="472"/>
      <c r="CA179" s="18"/>
      <c r="CF179" s="18"/>
      <c r="CG179" s="18"/>
      <c r="CH179" s="472"/>
      <c r="CI179" s="18"/>
      <c r="CJ179" s="18"/>
      <c r="CO179" s="18"/>
      <c r="CP179" s="18"/>
      <c r="CQ179" s="472"/>
      <c r="CR179" s="18"/>
      <c r="CS179" s="18"/>
      <c r="CX179" s="18"/>
      <c r="CY179" s="18"/>
      <c r="CZ179" s="472"/>
      <c r="DA179" s="18"/>
      <c r="DB179" s="18"/>
      <c r="DG179" s="18"/>
      <c r="DH179" s="18"/>
      <c r="DI179" s="472"/>
      <c r="DJ179" s="18"/>
      <c r="DK179" s="18"/>
      <c r="DP179" s="1"/>
      <c r="DQ179" s="1"/>
      <c r="DR179" s="473"/>
      <c r="DS179" s="1"/>
      <c r="DT179" s="1"/>
      <c r="DY179" s="18"/>
      <c r="DZ179" s="18"/>
      <c r="EA179" s="472"/>
      <c r="EB179" s="18"/>
      <c r="EC179" s="18"/>
      <c r="EH179" s="18"/>
      <c r="EI179" s="18"/>
      <c r="EJ179" s="472"/>
      <c r="EK179" s="18"/>
      <c r="EL179" s="18"/>
      <c r="EQ179" s="18"/>
      <c r="ER179" s="18"/>
      <c r="ES179" s="472"/>
      <c r="ET179" s="18"/>
      <c r="EU179" s="18"/>
      <c r="EZ179" s="18"/>
      <c r="FA179" s="18"/>
      <c r="FB179" s="472"/>
      <c r="FC179" s="18"/>
      <c r="FD179" s="18"/>
      <c r="FI179" s="18"/>
      <c r="FJ179" s="18"/>
      <c r="FK179" s="472"/>
      <c r="FL179" s="18"/>
      <c r="FM179" s="18"/>
      <c r="FR179" s="18"/>
      <c r="FS179" s="18"/>
      <c r="FT179" s="472"/>
      <c r="FU179" s="18"/>
      <c r="FV179" s="18"/>
      <c r="GA179" s="18"/>
      <c r="GB179" s="18"/>
      <c r="GC179" s="472"/>
      <c r="GD179" s="18"/>
      <c r="GE179" s="18"/>
      <c r="GJ179" s="18"/>
      <c r="GK179" s="18"/>
      <c r="GL179" s="472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4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2"/>
      <c r="JG179" s="18"/>
      <c r="JH179" s="18"/>
      <c r="JM179" s="476"/>
      <c r="JN179" s="476"/>
      <c r="JV179" s="476"/>
      <c r="JW179" s="476"/>
      <c r="JX179" s="477"/>
      <c r="JY179" s="476"/>
      <c r="JZ179" s="476"/>
      <c r="KE179" s="18"/>
      <c r="KF179" s="18"/>
      <c r="KH179" s="18"/>
      <c r="KI179" s="18"/>
      <c r="KN179" s="18"/>
      <c r="KO179" s="18"/>
      <c r="KW179" s="18"/>
      <c r="KX179" s="18"/>
      <c r="LF179" s="482"/>
      <c r="LG179" s="18"/>
      <c r="LH179" s="477"/>
      <c r="LI179" s="18"/>
      <c r="LJ179" s="18"/>
      <c r="LO179" s="476"/>
      <c r="LP179" s="476"/>
      <c r="LQ179" s="472"/>
      <c r="LR179" s="476"/>
      <c r="LS179" s="476"/>
      <c r="MG179" s="476"/>
      <c r="MH179" s="18"/>
      <c r="MI179" s="18"/>
      <c r="MJ179" s="479"/>
      <c r="ML179" s="18"/>
      <c r="MP179" s="18"/>
      <c r="MQ179" s="18"/>
      <c r="MR179" s="18"/>
      <c r="MS179" s="18"/>
      <c r="MT179" s="18"/>
      <c r="MY179" s="484"/>
      <c r="MZ179" s="3"/>
      <c r="NA179" s="487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1893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2382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4646</v>
      </c>
      <c r="BS180" s="3" t="s">
        <v>1425</v>
      </c>
      <c r="BT180" s="50"/>
      <c r="BX180" s="351"/>
      <c r="BY180" s="18"/>
      <c r="BZ180" s="472"/>
      <c r="CA180" s="18"/>
      <c r="CF180" s="351"/>
      <c r="CG180" s="18"/>
      <c r="CH180" s="472"/>
      <c r="CI180" s="18"/>
      <c r="CJ180" s="18"/>
      <c r="CO180" s="351"/>
      <c r="CP180" s="18"/>
      <c r="CQ180" s="472"/>
      <c r="CR180" s="18"/>
      <c r="CS180" s="18"/>
      <c r="CX180" s="351"/>
      <c r="CY180" s="18"/>
      <c r="CZ180" s="472"/>
      <c r="DA180" s="18"/>
      <c r="DB180" s="18"/>
      <c r="DG180" s="351"/>
      <c r="DH180" s="18"/>
      <c r="DI180" s="472"/>
      <c r="DJ180" s="18"/>
      <c r="DK180" s="18"/>
      <c r="DP180" s="381"/>
      <c r="DQ180" s="1"/>
      <c r="DR180" s="473"/>
      <c r="DS180" s="1"/>
      <c r="DT180" s="1"/>
      <c r="DY180" s="351"/>
      <c r="DZ180" s="18"/>
      <c r="EA180" s="472"/>
      <c r="EB180" s="18"/>
      <c r="EC180" s="18"/>
      <c r="EH180" s="351"/>
      <c r="EI180" s="18"/>
      <c r="EJ180" s="472"/>
      <c r="EK180" s="18"/>
      <c r="EL180" s="18"/>
      <c r="EQ180" s="351"/>
      <c r="ER180" s="18"/>
      <c r="ES180" s="472"/>
      <c r="ET180" s="18"/>
      <c r="EU180" s="18"/>
      <c r="EZ180" s="351"/>
      <c r="FA180" s="18"/>
      <c r="FB180" s="472"/>
      <c r="FC180" s="18"/>
      <c r="FD180" s="18"/>
      <c r="FI180" s="351"/>
      <c r="FJ180" s="18"/>
      <c r="FK180" s="472"/>
      <c r="FL180" s="18"/>
      <c r="FM180" s="18"/>
      <c r="FR180" s="351"/>
      <c r="FS180" s="18"/>
      <c r="FT180" s="472"/>
      <c r="FU180" s="18"/>
      <c r="FV180" s="18"/>
      <c r="GA180" s="351"/>
      <c r="GB180" s="18"/>
      <c r="GC180" s="472"/>
      <c r="GD180" s="18"/>
      <c r="GE180" s="18"/>
      <c r="GJ180" s="351"/>
      <c r="GK180" s="18"/>
      <c r="GL180" s="472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4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9"/>
      <c r="JE180" s="18"/>
      <c r="JF180" s="472"/>
      <c r="JG180" s="18"/>
      <c r="JH180" s="18"/>
      <c r="JM180" s="475"/>
      <c r="JN180" s="476"/>
      <c r="JV180" s="475"/>
      <c r="JW180" s="476"/>
      <c r="JX180" s="477"/>
      <c r="JY180" s="476"/>
      <c r="JZ180" s="476"/>
      <c r="KE180" s="351"/>
      <c r="KF180" s="18"/>
      <c r="KH180" s="18"/>
      <c r="KI180" s="18"/>
      <c r="KN180" s="351"/>
      <c r="KO180" s="18"/>
      <c r="KW180" s="351"/>
      <c r="KX180" s="18"/>
      <c r="LF180" s="482"/>
      <c r="LG180" s="18"/>
      <c r="LH180" s="477"/>
      <c r="LI180" s="18"/>
      <c r="LJ180" s="18"/>
      <c r="LO180" s="475"/>
      <c r="LP180" s="476"/>
      <c r="LQ180" s="472"/>
      <c r="LR180" s="476"/>
      <c r="LS180" s="476"/>
      <c r="MG180" s="476"/>
      <c r="MH180" s="18"/>
      <c r="MI180" s="18"/>
      <c r="MJ180" s="479"/>
      <c r="ML180" s="18"/>
      <c r="MP180" s="351"/>
      <c r="MQ180" s="18"/>
      <c r="MR180" s="18"/>
      <c r="MS180" s="18"/>
      <c r="MT180" s="18"/>
      <c r="MY180" s="484"/>
      <c r="MZ180" s="63"/>
      <c r="NA180" s="487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2358</v>
      </c>
      <c r="BI181" s="18"/>
      <c r="BK181" s="50"/>
      <c r="BN181" s="49" t="s">
        <v>4625</v>
      </c>
      <c r="BQ181" s="89"/>
      <c r="BT181" s="50"/>
      <c r="BX181" s="351"/>
      <c r="BY181" s="18"/>
      <c r="BZ181" s="472"/>
      <c r="CA181" s="18"/>
      <c r="CF181" s="351"/>
      <c r="CG181" s="18"/>
      <c r="CH181" s="472"/>
      <c r="CI181" s="18"/>
      <c r="CJ181" s="18"/>
      <c r="CO181" s="351"/>
      <c r="CP181" s="18"/>
      <c r="CQ181" s="472"/>
      <c r="CR181" s="18"/>
      <c r="CS181" s="18"/>
      <c r="CX181" s="351"/>
      <c r="CY181" s="18"/>
      <c r="CZ181" s="472"/>
      <c r="DA181" s="18"/>
      <c r="DB181" s="18"/>
      <c r="DG181" s="351"/>
      <c r="DH181" s="18"/>
      <c r="DI181" s="472"/>
      <c r="DJ181" s="18"/>
      <c r="DK181" s="18"/>
      <c r="DP181" s="381"/>
      <c r="DQ181" s="1"/>
      <c r="DR181" s="473"/>
      <c r="DS181" s="1"/>
      <c r="DT181" s="1"/>
      <c r="DY181" s="351"/>
      <c r="DZ181" s="18"/>
      <c r="EA181" s="472"/>
      <c r="EB181" s="18"/>
      <c r="EC181" s="18"/>
      <c r="EH181" s="351"/>
      <c r="EI181" s="18"/>
      <c r="EJ181" s="472"/>
      <c r="EK181" s="18"/>
      <c r="EL181" s="18"/>
      <c r="EQ181" s="351"/>
      <c r="ER181" s="18"/>
      <c r="ES181" s="472"/>
      <c r="ET181" s="18"/>
      <c r="EU181" s="18"/>
      <c r="EZ181" s="351"/>
      <c r="FA181" s="18"/>
      <c r="FB181" s="472"/>
      <c r="FC181" s="18"/>
      <c r="FD181" s="18"/>
      <c r="FI181" s="351"/>
      <c r="FJ181" s="18"/>
      <c r="FK181" s="472"/>
      <c r="FL181" s="18"/>
      <c r="FM181" s="18"/>
      <c r="FR181" s="351"/>
      <c r="FS181" s="18"/>
      <c r="FT181" s="472"/>
      <c r="FU181" s="18"/>
      <c r="FV181" s="18"/>
      <c r="GA181" s="351"/>
      <c r="GB181" s="18"/>
      <c r="GC181" s="472"/>
      <c r="GD181" s="18"/>
      <c r="GE181" s="18"/>
      <c r="GJ181" s="351"/>
      <c r="GK181" s="18"/>
      <c r="GL181" s="472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4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9"/>
      <c r="JE181" s="18"/>
      <c r="JF181" s="472"/>
      <c r="JG181" s="18"/>
      <c r="JH181" s="18"/>
      <c r="JM181" s="475"/>
      <c r="JN181" s="476"/>
      <c r="JV181" s="475"/>
      <c r="JW181" s="476"/>
      <c r="JX181" s="477"/>
      <c r="JY181" s="476"/>
      <c r="JZ181" s="476"/>
      <c r="KE181" s="351"/>
      <c r="KF181" s="18"/>
      <c r="KH181" s="18"/>
      <c r="KI181" s="18"/>
      <c r="KN181" s="351"/>
      <c r="KO181" s="18"/>
      <c r="KW181" s="351"/>
      <c r="KX181" s="18"/>
      <c r="LF181" s="482"/>
      <c r="LG181" s="18"/>
      <c r="LH181" s="477"/>
      <c r="LI181" s="18"/>
      <c r="LJ181" s="18"/>
      <c r="LO181" s="475"/>
      <c r="LP181" s="476"/>
      <c r="LQ181" s="472"/>
      <c r="LR181" s="476"/>
      <c r="LS181" s="476"/>
      <c r="MG181" s="476"/>
      <c r="MH181" s="18"/>
      <c r="MI181" s="18"/>
      <c r="MJ181" s="479"/>
      <c r="ML181" s="18"/>
      <c r="MP181" s="351"/>
      <c r="MQ181" s="18"/>
      <c r="MR181" s="18"/>
      <c r="MS181" s="18"/>
      <c r="MT181" s="18"/>
      <c r="MY181" s="484"/>
      <c r="MZ181" s="63"/>
      <c r="NA181" s="487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1894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2383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4647</v>
      </c>
      <c r="BS182" s="3" t="s">
        <v>1426</v>
      </c>
      <c r="BT182" s="50"/>
      <c r="BX182" s="479"/>
      <c r="BY182" s="18"/>
      <c r="BZ182" s="472"/>
      <c r="CA182" s="18"/>
      <c r="CF182" s="479"/>
      <c r="CG182" s="18"/>
      <c r="CH182" s="472"/>
      <c r="CI182" s="18"/>
      <c r="CJ182" s="18"/>
      <c r="CO182" s="479"/>
      <c r="CP182" s="18"/>
      <c r="CQ182" s="472"/>
      <c r="CR182" s="18"/>
      <c r="CS182" s="18"/>
      <c r="CX182" s="479"/>
      <c r="CY182" s="18"/>
      <c r="CZ182" s="472"/>
      <c r="DA182" s="18"/>
      <c r="DB182" s="18"/>
      <c r="DG182" s="479"/>
      <c r="DH182" s="18"/>
      <c r="DI182" s="472"/>
      <c r="DJ182" s="18"/>
      <c r="DK182" s="18"/>
      <c r="DP182" s="481"/>
      <c r="DQ182" s="1"/>
      <c r="DR182" s="473"/>
      <c r="DS182" s="1"/>
      <c r="DT182" s="1"/>
      <c r="DY182" s="479"/>
      <c r="DZ182" s="18"/>
      <c r="EA182" s="472"/>
      <c r="EB182" s="18"/>
      <c r="EC182" s="18"/>
      <c r="EH182" s="479"/>
      <c r="EI182" s="18"/>
      <c r="EJ182" s="472"/>
      <c r="EK182" s="18"/>
      <c r="EL182" s="18"/>
      <c r="EQ182" s="479"/>
      <c r="ER182" s="18"/>
      <c r="ES182" s="472"/>
      <c r="ET182" s="18"/>
      <c r="EU182" s="18"/>
      <c r="EZ182" s="479"/>
      <c r="FA182" s="18"/>
      <c r="FB182" s="472"/>
      <c r="FC182" s="18"/>
      <c r="FD182" s="18"/>
      <c r="FI182" s="479"/>
      <c r="FJ182" s="18"/>
      <c r="FK182" s="472"/>
      <c r="FL182" s="18"/>
      <c r="FM182" s="18"/>
      <c r="FR182" s="482"/>
      <c r="FS182" s="18"/>
      <c r="FT182" s="472"/>
      <c r="FU182" s="18"/>
      <c r="FV182" s="18"/>
      <c r="GA182" s="479"/>
      <c r="GB182" s="18"/>
      <c r="GC182" s="472"/>
      <c r="GD182" s="18"/>
      <c r="GE182" s="18"/>
      <c r="GJ182" s="479"/>
      <c r="GK182" s="18"/>
      <c r="GL182" s="472"/>
      <c r="GM182" s="18"/>
      <c r="GN182" s="18"/>
      <c r="HB182" s="482"/>
      <c r="HC182" s="18"/>
      <c r="HE182" s="18"/>
      <c r="HF182" s="18"/>
      <c r="HK182" s="482"/>
      <c r="HL182" s="18"/>
      <c r="HN182" s="18"/>
      <c r="HO182" s="18"/>
      <c r="HT182" s="18"/>
      <c r="HU182" s="474"/>
      <c r="HW182" s="18"/>
      <c r="HX182" s="18"/>
      <c r="HY182" s="18"/>
      <c r="IL182" s="479"/>
      <c r="IM182" s="18"/>
      <c r="IO182" s="18"/>
      <c r="IP182" s="18"/>
      <c r="IU182" s="482"/>
      <c r="IV182" s="18"/>
      <c r="IX182" s="18"/>
      <c r="IY182" s="18"/>
      <c r="JD182" s="479"/>
      <c r="JE182" s="18"/>
      <c r="JF182" s="472"/>
      <c r="JG182" s="18"/>
      <c r="JH182" s="18"/>
      <c r="JM182" s="479"/>
      <c r="JN182" s="476"/>
      <c r="JV182" s="479"/>
      <c r="JW182" s="476"/>
      <c r="JX182" s="477"/>
      <c r="JY182" s="476"/>
      <c r="JZ182" s="476"/>
      <c r="KE182" s="482"/>
      <c r="KF182" s="18"/>
      <c r="KH182" s="18"/>
      <c r="KI182" s="18"/>
      <c r="KN182" s="482"/>
      <c r="KO182" s="18"/>
      <c r="KW182" s="482"/>
      <c r="KX182" s="18"/>
      <c r="LF182" s="18"/>
      <c r="LG182" s="18"/>
      <c r="LH182" s="477"/>
      <c r="LI182" s="18"/>
      <c r="LJ182" s="18"/>
      <c r="LO182" s="479"/>
      <c r="LP182" s="476"/>
      <c r="LQ182" s="472"/>
      <c r="LR182" s="476"/>
      <c r="LS182" s="476"/>
      <c r="MG182" s="476"/>
      <c r="MH182" s="18"/>
      <c r="MI182" s="18"/>
      <c r="MJ182" s="479"/>
      <c r="ML182" s="18"/>
      <c r="MP182" s="482"/>
      <c r="MQ182" s="18"/>
      <c r="MR182" s="18"/>
      <c r="MS182" s="18"/>
      <c r="MT182" s="18"/>
      <c r="MY182" s="3"/>
      <c r="MZ182" s="63"/>
      <c r="NA182" s="487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2377</v>
      </c>
      <c r="BI183" s="18"/>
      <c r="BK183" s="50"/>
      <c r="BN183" s="49" t="s">
        <v>4625</v>
      </c>
      <c r="BQ183" s="89"/>
      <c r="BT183" s="50"/>
      <c r="BX183" s="479"/>
      <c r="BY183" s="18"/>
      <c r="BZ183" s="472"/>
      <c r="CA183" s="18"/>
      <c r="CF183" s="479"/>
      <c r="CG183" s="18"/>
      <c r="CH183" s="472"/>
      <c r="CI183" s="18"/>
      <c r="CJ183" s="18"/>
      <c r="CO183" s="479"/>
      <c r="CP183" s="18"/>
      <c r="CQ183" s="472"/>
      <c r="CR183" s="18"/>
      <c r="CS183" s="18"/>
      <c r="CX183" s="479"/>
      <c r="CY183" s="18"/>
      <c r="CZ183" s="472"/>
      <c r="DA183" s="18"/>
      <c r="DB183" s="18"/>
      <c r="DG183" s="479"/>
      <c r="DH183" s="18"/>
      <c r="DI183" s="472"/>
      <c r="DJ183" s="18"/>
      <c r="DK183" s="18"/>
      <c r="DP183" s="481"/>
      <c r="DQ183" s="1"/>
      <c r="DR183" s="473"/>
      <c r="DS183" s="1"/>
      <c r="DT183" s="1"/>
      <c r="DY183" s="479"/>
      <c r="DZ183" s="18"/>
      <c r="EA183" s="472"/>
      <c r="EB183" s="18"/>
      <c r="EC183" s="18"/>
      <c r="EH183" s="479"/>
      <c r="EI183" s="18"/>
      <c r="EJ183" s="472"/>
      <c r="EK183" s="18"/>
      <c r="EL183" s="18"/>
      <c r="EQ183" s="479"/>
      <c r="ER183" s="18"/>
      <c r="ES183" s="472"/>
      <c r="ET183" s="18"/>
      <c r="EU183" s="18"/>
      <c r="EZ183" s="479"/>
      <c r="FA183" s="18"/>
      <c r="FB183" s="472"/>
      <c r="FC183" s="18"/>
      <c r="FD183" s="18"/>
      <c r="FI183" s="479"/>
      <c r="FJ183" s="18"/>
      <c r="FK183" s="472"/>
      <c r="FL183" s="18"/>
      <c r="FM183" s="18"/>
      <c r="FR183" s="482"/>
      <c r="FS183" s="18"/>
      <c r="FT183" s="472"/>
      <c r="FU183" s="18"/>
      <c r="FV183" s="18"/>
      <c r="GA183" s="479"/>
      <c r="GB183" s="18"/>
      <c r="GC183" s="472"/>
      <c r="GD183" s="18"/>
      <c r="GE183" s="18"/>
      <c r="GJ183" s="479"/>
      <c r="GK183" s="18"/>
      <c r="GL183" s="472"/>
      <c r="GM183" s="18"/>
      <c r="GN183" s="18"/>
      <c r="HB183" s="482"/>
      <c r="HC183" s="18"/>
      <c r="HE183" s="18"/>
      <c r="HF183" s="18"/>
      <c r="HK183" s="482"/>
      <c r="HL183" s="18"/>
      <c r="HN183" s="18"/>
      <c r="HO183" s="18"/>
      <c r="HT183" s="18"/>
      <c r="HU183" s="474"/>
      <c r="HW183" s="18"/>
      <c r="HX183" s="18"/>
      <c r="HY183" s="18"/>
      <c r="IL183" s="479"/>
      <c r="IM183" s="18"/>
      <c r="IO183" s="18"/>
      <c r="IP183" s="18"/>
      <c r="IU183" s="482"/>
      <c r="IV183" s="18"/>
      <c r="IX183" s="18"/>
      <c r="IY183" s="18"/>
      <c r="JD183" s="18"/>
      <c r="JE183" s="18"/>
      <c r="JF183" s="472"/>
      <c r="JG183" s="18"/>
      <c r="JH183" s="18"/>
      <c r="JM183" s="479"/>
      <c r="JN183" s="476"/>
      <c r="JV183" s="479"/>
      <c r="JW183" s="476"/>
      <c r="JX183" s="477"/>
      <c r="JY183" s="476"/>
      <c r="JZ183" s="476"/>
      <c r="KE183" s="482"/>
      <c r="KF183" s="18"/>
      <c r="KH183" s="18"/>
      <c r="KI183" s="18"/>
      <c r="KN183" s="482"/>
      <c r="KO183" s="18"/>
      <c r="KW183" s="482"/>
      <c r="KX183" s="18"/>
      <c r="LF183" s="351"/>
      <c r="LG183" s="18"/>
      <c r="LH183" s="477"/>
      <c r="LI183" s="18"/>
      <c r="LJ183" s="18"/>
      <c r="LO183" s="479"/>
      <c r="LP183" s="476"/>
      <c r="LQ183" s="472"/>
      <c r="LR183" s="476"/>
      <c r="LS183" s="476"/>
      <c r="MG183" s="476"/>
      <c r="MH183" s="18"/>
      <c r="MI183" s="18"/>
      <c r="MJ183" s="479"/>
      <c r="ML183" s="18"/>
      <c r="MP183" s="482"/>
      <c r="MQ183" s="18"/>
      <c r="MR183" s="18"/>
      <c r="MS183" s="18"/>
      <c r="MT183" s="18"/>
      <c r="MY183" s="60"/>
      <c r="MZ183" s="3"/>
      <c r="NA183" s="487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1895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2384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4648</v>
      </c>
      <c r="BS184" s="3" t="s">
        <v>1427</v>
      </c>
      <c r="BT184" s="50"/>
      <c r="BX184" s="479"/>
      <c r="BY184" s="18"/>
      <c r="BZ184" s="472"/>
      <c r="CA184" s="18"/>
      <c r="CF184" s="479"/>
      <c r="CG184" s="18"/>
      <c r="CH184" s="472"/>
      <c r="CI184" s="18"/>
      <c r="CJ184" s="18"/>
      <c r="CO184" s="479"/>
      <c r="CP184" s="18"/>
      <c r="CQ184" s="472"/>
      <c r="CR184" s="18"/>
      <c r="CS184" s="18"/>
      <c r="CX184" s="479"/>
      <c r="CY184" s="18"/>
      <c r="CZ184" s="472"/>
      <c r="DA184" s="18"/>
      <c r="DB184" s="18"/>
      <c r="DG184" s="479"/>
      <c r="DH184" s="18"/>
      <c r="DI184" s="472"/>
      <c r="DJ184" s="18"/>
      <c r="DK184" s="18"/>
      <c r="DP184" s="481"/>
      <c r="DQ184" s="1"/>
      <c r="DR184" s="473"/>
      <c r="DS184" s="1"/>
      <c r="DT184" s="1"/>
      <c r="DY184" s="479"/>
      <c r="DZ184" s="18"/>
      <c r="EA184" s="472"/>
      <c r="EB184" s="18"/>
      <c r="EC184" s="18"/>
      <c r="EH184" s="479"/>
      <c r="EI184" s="18"/>
      <c r="EJ184" s="472"/>
      <c r="EK184" s="18"/>
      <c r="EL184" s="18"/>
      <c r="EQ184" s="479"/>
      <c r="ER184" s="18"/>
      <c r="ES184" s="472"/>
      <c r="ET184" s="18"/>
      <c r="EU184" s="18"/>
      <c r="EZ184" s="479"/>
      <c r="FA184" s="18"/>
      <c r="FB184" s="472"/>
      <c r="FC184" s="18"/>
      <c r="FD184" s="18"/>
      <c r="FI184" s="479"/>
      <c r="FJ184" s="18"/>
      <c r="FK184" s="472"/>
      <c r="FL184" s="18"/>
      <c r="FM184" s="18"/>
      <c r="FR184" s="482"/>
      <c r="FS184" s="18"/>
      <c r="FT184" s="472"/>
      <c r="FU184" s="18"/>
      <c r="FV184" s="18"/>
      <c r="GA184" s="479"/>
      <c r="GB184" s="18"/>
      <c r="GC184" s="472"/>
      <c r="GD184" s="18"/>
      <c r="GE184" s="18"/>
      <c r="GJ184" s="479"/>
      <c r="GK184" s="18"/>
      <c r="GL184" s="472"/>
      <c r="GM184" s="18"/>
      <c r="GN184" s="18"/>
      <c r="HB184" s="482"/>
      <c r="HC184" s="18"/>
      <c r="HE184" s="18"/>
      <c r="HF184" s="18"/>
      <c r="HK184" s="482"/>
      <c r="HL184" s="18"/>
      <c r="HN184" s="18"/>
      <c r="HO184" s="18"/>
      <c r="HT184" s="18"/>
      <c r="HU184" s="474"/>
      <c r="HW184" s="18"/>
      <c r="HX184" s="18"/>
      <c r="HY184" s="18"/>
      <c r="IL184" s="479"/>
      <c r="IM184" s="18"/>
      <c r="IO184" s="18"/>
      <c r="IP184" s="18"/>
      <c r="IU184" s="482"/>
      <c r="IV184" s="18"/>
      <c r="IX184" s="18"/>
      <c r="IY184" s="18"/>
      <c r="JD184" s="351"/>
      <c r="JE184" s="18"/>
      <c r="JF184" s="472"/>
      <c r="JG184" s="18"/>
      <c r="JH184" s="18"/>
      <c r="JM184" s="479"/>
      <c r="JN184" s="476"/>
      <c r="JV184" s="479"/>
      <c r="JW184" s="476"/>
      <c r="JX184" s="477"/>
      <c r="JY184" s="476"/>
      <c r="JZ184" s="476"/>
      <c r="KE184" s="482"/>
      <c r="KF184" s="18"/>
      <c r="KH184" s="18"/>
      <c r="KI184" s="18"/>
      <c r="KN184" s="482"/>
      <c r="KO184" s="18"/>
      <c r="KW184" s="482"/>
      <c r="KX184" s="18"/>
      <c r="LF184" s="18"/>
      <c r="LG184" s="18"/>
      <c r="LH184" s="477"/>
      <c r="LI184" s="18"/>
      <c r="LJ184" s="18"/>
      <c r="LO184" s="479"/>
      <c r="LP184" s="476"/>
      <c r="LQ184" s="472"/>
      <c r="LR184" s="476"/>
      <c r="LS184" s="476"/>
      <c r="MG184" s="476"/>
      <c r="MH184" s="18"/>
      <c r="MI184" s="18"/>
      <c r="MJ184" s="479"/>
      <c r="ML184" s="18"/>
      <c r="MP184" s="482"/>
      <c r="MQ184" s="18"/>
      <c r="MR184" s="18"/>
      <c r="MS184" s="18"/>
      <c r="MT184" s="18"/>
      <c r="MY184" s="3"/>
      <c r="MZ184" s="3"/>
      <c r="NA184" s="487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2377</v>
      </c>
      <c r="BI185" s="18"/>
      <c r="BK185" s="50"/>
      <c r="BN185" s="49" t="s">
        <v>4625</v>
      </c>
      <c r="BQ185" s="89"/>
      <c r="BT185" s="50"/>
      <c r="BX185" s="351"/>
      <c r="BY185" s="18"/>
      <c r="BZ185" s="472"/>
      <c r="CA185" s="18"/>
      <c r="CF185" s="351"/>
      <c r="CG185" s="18"/>
      <c r="CH185" s="472"/>
      <c r="CI185" s="18"/>
      <c r="CJ185" s="18"/>
      <c r="CO185" s="351"/>
      <c r="CP185" s="18"/>
      <c r="CQ185" s="472"/>
      <c r="CR185" s="18"/>
      <c r="CS185" s="18"/>
      <c r="CX185" s="351"/>
      <c r="CY185" s="18"/>
      <c r="CZ185" s="472"/>
      <c r="DA185" s="18"/>
      <c r="DB185" s="18"/>
      <c r="DG185" s="351"/>
      <c r="DH185" s="18"/>
      <c r="DI185" s="472"/>
      <c r="DJ185" s="18"/>
      <c r="DK185" s="18"/>
      <c r="DP185" s="381"/>
      <c r="DQ185" s="1"/>
      <c r="DR185" s="473"/>
      <c r="DS185" s="1"/>
      <c r="DT185" s="1"/>
      <c r="DY185" s="351"/>
      <c r="DZ185" s="18"/>
      <c r="EA185" s="472"/>
      <c r="EB185" s="18"/>
      <c r="EC185" s="18"/>
      <c r="EH185" s="351"/>
      <c r="EI185" s="18"/>
      <c r="EJ185" s="472"/>
      <c r="EK185" s="18"/>
      <c r="EL185" s="18"/>
      <c r="EQ185" s="351"/>
      <c r="ER185" s="18"/>
      <c r="ES185" s="472"/>
      <c r="ET185" s="18"/>
      <c r="EU185" s="18"/>
      <c r="EZ185" s="351"/>
      <c r="FA185" s="18"/>
      <c r="FB185" s="472"/>
      <c r="FC185" s="18"/>
      <c r="FD185" s="18"/>
      <c r="FI185" s="351"/>
      <c r="FJ185" s="18"/>
      <c r="FK185" s="472"/>
      <c r="FL185" s="18"/>
      <c r="FM185" s="18"/>
      <c r="FR185" s="351"/>
      <c r="FS185" s="18"/>
      <c r="FT185" s="472"/>
      <c r="FU185" s="18"/>
      <c r="FV185" s="18"/>
      <c r="GA185" s="351"/>
      <c r="GB185" s="18"/>
      <c r="GC185" s="472"/>
      <c r="GD185" s="18"/>
      <c r="GE185" s="18"/>
      <c r="GJ185" s="351"/>
      <c r="GK185" s="18"/>
      <c r="GL185" s="472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4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2"/>
      <c r="JG185" s="18"/>
      <c r="JH185" s="18"/>
      <c r="JM185" s="475"/>
      <c r="JN185" s="476"/>
      <c r="JV185" s="475"/>
      <c r="JW185" s="476"/>
      <c r="JX185" s="477"/>
      <c r="JY185" s="476"/>
      <c r="JZ185" s="476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8"/>
      <c r="LI185" s="18"/>
      <c r="LJ185" s="18"/>
      <c r="LO185" s="475"/>
      <c r="LP185" s="476"/>
      <c r="LQ185" s="472"/>
      <c r="LR185" s="476"/>
      <c r="LS185" s="476"/>
      <c r="MG185" s="476"/>
      <c r="MH185" s="18"/>
      <c r="MI185" s="18"/>
      <c r="MJ185" s="479"/>
      <c r="ML185" s="18"/>
      <c r="MP185" s="351"/>
      <c r="MQ185" s="18"/>
      <c r="MR185" s="18"/>
      <c r="MS185" s="18"/>
      <c r="MT185" s="18"/>
      <c r="MY185" s="3"/>
      <c r="MZ185" s="3"/>
      <c r="NA185" s="480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1896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2385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4649</v>
      </c>
      <c r="BS186" s="3" t="s">
        <v>1428</v>
      </c>
      <c r="BT186" s="50"/>
      <c r="BX186" s="18"/>
      <c r="BY186" s="18"/>
      <c r="BZ186" s="472"/>
      <c r="CA186" s="18"/>
      <c r="CF186" s="18"/>
      <c r="CG186" s="18"/>
      <c r="CH186" s="472"/>
      <c r="CI186" s="18"/>
      <c r="CJ186" s="18"/>
      <c r="CO186" s="18"/>
      <c r="CP186" s="18"/>
      <c r="CQ186" s="472"/>
      <c r="CR186" s="18"/>
      <c r="CS186" s="18"/>
      <c r="CX186" s="18"/>
      <c r="CY186" s="18"/>
      <c r="CZ186" s="472"/>
      <c r="DA186" s="18"/>
      <c r="DB186" s="18"/>
      <c r="DG186" s="18"/>
      <c r="DH186" s="18"/>
      <c r="DI186" s="472"/>
      <c r="DJ186" s="18"/>
      <c r="DK186" s="18"/>
      <c r="DP186" s="1"/>
      <c r="DQ186" s="1"/>
      <c r="DR186" s="473"/>
      <c r="DS186" s="1"/>
      <c r="DT186" s="1"/>
      <c r="DY186" s="18"/>
      <c r="DZ186" s="18"/>
      <c r="EA186" s="472"/>
      <c r="EB186" s="18"/>
      <c r="EC186" s="18"/>
      <c r="EH186" s="18"/>
      <c r="EI186" s="18"/>
      <c r="EJ186" s="472"/>
      <c r="EK186" s="18"/>
      <c r="EL186" s="18"/>
      <c r="EQ186" s="18"/>
      <c r="ER186" s="18"/>
      <c r="ES186" s="472"/>
      <c r="ET186" s="18"/>
      <c r="EU186" s="18"/>
      <c r="EZ186" s="18"/>
      <c r="FA186" s="18"/>
      <c r="FB186" s="472"/>
      <c r="FC186" s="18"/>
      <c r="FD186" s="18"/>
      <c r="FI186" s="18"/>
      <c r="FJ186" s="18"/>
      <c r="FK186" s="472"/>
      <c r="FL186" s="18"/>
      <c r="FM186" s="18"/>
      <c r="FR186" s="18"/>
      <c r="FS186" s="18"/>
      <c r="FT186" s="472"/>
      <c r="FU186" s="18"/>
      <c r="FV186" s="18"/>
      <c r="GA186" s="18"/>
      <c r="GB186" s="18"/>
      <c r="GC186" s="472"/>
      <c r="GD186" s="18"/>
      <c r="GE186" s="18"/>
      <c r="GJ186" s="18"/>
      <c r="GK186" s="18"/>
      <c r="GL186" s="472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4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3"/>
      <c r="JG186" s="18"/>
      <c r="JH186" s="18"/>
      <c r="JM186" s="476"/>
      <c r="JN186" s="476"/>
      <c r="JV186" s="476"/>
      <c r="JW186" s="476"/>
      <c r="JX186" s="477"/>
      <c r="JY186" s="476"/>
      <c r="JZ186" s="476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7"/>
      <c r="LI186" s="18"/>
      <c r="LJ186" s="18"/>
      <c r="LO186" s="476"/>
      <c r="LP186" s="476"/>
      <c r="LQ186" s="472"/>
      <c r="LR186" s="476"/>
      <c r="LS186" s="476"/>
      <c r="MG186" s="476"/>
      <c r="MH186" s="18"/>
      <c r="MI186" s="18"/>
      <c r="MJ186" s="479"/>
      <c r="ML186" s="18"/>
      <c r="MP186" s="18"/>
      <c r="MQ186" s="18"/>
      <c r="MR186" s="18"/>
      <c r="MS186" s="18"/>
      <c r="MT186" s="18"/>
      <c r="MY186" s="3"/>
      <c r="MZ186" s="63"/>
      <c r="NA186" s="487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2358</v>
      </c>
      <c r="BI187" s="18"/>
      <c r="BK187" s="50"/>
      <c r="BN187" s="49" t="s">
        <v>4625</v>
      </c>
      <c r="BQ187" s="89"/>
      <c r="BT187" s="50"/>
      <c r="BX187" s="351"/>
      <c r="BY187" s="18"/>
      <c r="BZ187" s="472"/>
      <c r="CA187" s="18"/>
      <c r="CF187" s="351"/>
      <c r="CG187" s="18"/>
      <c r="CH187" s="472"/>
      <c r="CI187" s="18"/>
      <c r="CJ187" s="18"/>
      <c r="CO187" s="351"/>
      <c r="CP187" s="18"/>
      <c r="CQ187" s="472"/>
      <c r="CR187" s="18"/>
      <c r="CS187" s="18"/>
      <c r="CX187" s="351"/>
      <c r="CY187" s="18"/>
      <c r="CZ187" s="472"/>
      <c r="DA187" s="18"/>
      <c r="DB187" s="18"/>
      <c r="DG187" s="351"/>
      <c r="DH187" s="18"/>
      <c r="DI187" s="472"/>
      <c r="DJ187" s="18"/>
      <c r="DK187" s="18"/>
      <c r="DP187" s="381"/>
      <c r="DQ187" s="1"/>
      <c r="DR187" s="473"/>
      <c r="DS187" s="1"/>
      <c r="DT187" s="1"/>
      <c r="DY187" s="351"/>
      <c r="DZ187" s="18"/>
      <c r="EA187" s="472"/>
      <c r="EB187" s="18"/>
      <c r="EC187" s="18"/>
      <c r="EH187" s="351"/>
      <c r="EI187" s="18"/>
      <c r="EJ187" s="472"/>
      <c r="EK187" s="18"/>
      <c r="EL187" s="18"/>
      <c r="EQ187" s="351"/>
      <c r="ER187" s="18"/>
      <c r="ES187" s="472"/>
      <c r="ET187" s="18"/>
      <c r="EU187" s="18"/>
      <c r="EZ187" s="351"/>
      <c r="FA187" s="18"/>
      <c r="FB187" s="472"/>
      <c r="FC187" s="18"/>
      <c r="FD187" s="18"/>
      <c r="FI187" s="351"/>
      <c r="FJ187" s="18"/>
      <c r="FK187" s="472"/>
      <c r="FL187" s="18"/>
      <c r="FM187" s="18"/>
      <c r="FR187" s="351"/>
      <c r="FS187" s="18"/>
      <c r="FT187" s="472"/>
      <c r="FU187" s="18"/>
      <c r="FV187" s="18"/>
      <c r="GA187" s="351"/>
      <c r="GB187" s="18"/>
      <c r="GC187" s="472"/>
      <c r="GD187" s="18"/>
      <c r="GE187" s="18"/>
      <c r="GJ187" s="351"/>
      <c r="GK187" s="18"/>
      <c r="GL187" s="472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4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2"/>
      <c r="JG187" s="18"/>
      <c r="JH187" s="18"/>
      <c r="JM187" s="475"/>
      <c r="JN187" s="476"/>
      <c r="JV187" s="475"/>
      <c r="JW187" s="476"/>
      <c r="JX187" s="477"/>
      <c r="JY187" s="476"/>
      <c r="JZ187" s="476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7"/>
      <c r="LI187" s="18"/>
      <c r="LJ187" s="18"/>
      <c r="LO187" s="475"/>
      <c r="LP187" s="476"/>
      <c r="LQ187" s="472"/>
      <c r="LR187" s="476"/>
      <c r="LS187" s="476"/>
      <c r="MG187" s="476"/>
      <c r="MH187" s="18"/>
      <c r="MI187" s="18"/>
      <c r="MJ187" s="479"/>
      <c r="ML187" s="18"/>
      <c r="MP187" s="351"/>
      <c r="MQ187" s="18"/>
      <c r="MR187" s="18"/>
      <c r="MS187" s="18"/>
      <c r="MT187" s="18"/>
      <c r="MY187" s="60"/>
      <c r="MZ187" s="63"/>
      <c r="NA187" s="486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1897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2386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4650</v>
      </c>
      <c r="BS188" s="3" t="s">
        <v>1429</v>
      </c>
      <c r="BT188" s="50"/>
      <c r="BX188" s="18"/>
      <c r="BY188" s="18"/>
      <c r="BZ188" s="472"/>
      <c r="CA188" s="18"/>
      <c r="CF188" s="18"/>
      <c r="CG188" s="18"/>
      <c r="CH188" s="472"/>
      <c r="CI188" s="18"/>
      <c r="CJ188" s="18"/>
      <c r="CO188" s="18"/>
      <c r="CP188" s="18"/>
      <c r="CQ188" s="472"/>
      <c r="CR188" s="18"/>
      <c r="CS188" s="18"/>
      <c r="CX188" s="18"/>
      <c r="CY188" s="18"/>
      <c r="CZ188" s="472"/>
      <c r="DA188" s="18"/>
      <c r="DB188" s="18"/>
      <c r="DG188" s="18"/>
      <c r="DH188" s="18"/>
      <c r="DI188" s="472"/>
      <c r="DJ188" s="18"/>
      <c r="DK188" s="18"/>
      <c r="DP188" s="1"/>
      <c r="DQ188" s="1"/>
      <c r="DR188" s="473"/>
      <c r="DS188" s="1"/>
      <c r="DT188" s="1"/>
      <c r="DY188" s="18"/>
      <c r="DZ188" s="18"/>
      <c r="EA188" s="472"/>
      <c r="EB188" s="18"/>
      <c r="EC188" s="18"/>
      <c r="EH188" s="18"/>
      <c r="EI188" s="18"/>
      <c r="EJ188" s="472"/>
      <c r="EK188" s="18"/>
      <c r="EL188" s="18"/>
      <c r="EQ188" s="18"/>
      <c r="ER188" s="18"/>
      <c r="ES188" s="472"/>
      <c r="ET188" s="18"/>
      <c r="EU188" s="18"/>
      <c r="EZ188" s="18"/>
      <c r="FA188" s="18"/>
      <c r="FB188" s="472"/>
      <c r="FC188" s="18"/>
      <c r="FD188" s="18"/>
      <c r="FI188" s="18"/>
      <c r="FJ188" s="18"/>
      <c r="FK188" s="472"/>
      <c r="FL188" s="18"/>
      <c r="FM188" s="18"/>
      <c r="FR188" s="18"/>
      <c r="FS188" s="18"/>
      <c r="FT188" s="472"/>
      <c r="FU188" s="18"/>
      <c r="FV188" s="18"/>
      <c r="GA188" s="18"/>
      <c r="GB188" s="18"/>
      <c r="GC188" s="472"/>
      <c r="GD188" s="18"/>
      <c r="GE188" s="18"/>
      <c r="GJ188" s="18"/>
      <c r="GK188" s="18"/>
      <c r="GL188" s="472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4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2"/>
      <c r="JG188" s="18"/>
      <c r="JH188" s="18"/>
      <c r="JM188" s="476"/>
      <c r="JN188" s="476"/>
      <c r="JV188" s="476"/>
      <c r="JW188" s="476"/>
      <c r="JX188" s="477"/>
      <c r="JY188" s="476"/>
      <c r="JZ188" s="476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7"/>
      <c r="LI188" s="18"/>
      <c r="LJ188" s="18"/>
      <c r="LO188" s="476"/>
      <c r="LP188" s="476"/>
      <c r="LQ188" s="472"/>
      <c r="LR188" s="476"/>
      <c r="LS188" s="476"/>
      <c r="MG188" s="476"/>
      <c r="MH188" s="18"/>
      <c r="MI188" s="18"/>
      <c r="MJ188" s="479"/>
      <c r="ML188" s="18"/>
      <c r="MP188" s="18"/>
      <c r="MQ188" s="18"/>
      <c r="MR188" s="18"/>
      <c r="MS188" s="18"/>
      <c r="MT188" s="18"/>
      <c r="MZ188" s="3"/>
      <c r="NA188" s="487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2358</v>
      </c>
      <c r="BI189" s="18"/>
      <c r="BK189" s="50"/>
      <c r="BN189" s="49" t="s">
        <v>4645</v>
      </c>
      <c r="BQ189" s="89"/>
      <c r="BT189" s="50"/>
      <c r="BX189" s="18"/>
      <c r="BY189" s="18"/>
      <c r="BZ189" s="472"/>
      <c r="CA189" s="18"/>
      <c r="CF189" s="18"/>
      <c r="CG189" s="18"/>
      <c r="CH189" s="472"/>
      <c r="CI189" s="18"/>
      <c r="CJ189" s="18"/>
      <c r="CO189" s="18"/>
      <c r="CP189" s="18"/>
      <c r="CQ189" s="472"/>
      <c r="CR189" s="18"/>
      <c r="CS189" s="18"/>
      <c r="CX189" s="18"/>
      <c r="CY189" s="18"/>
      <c r="CZ189" s="472"/>
      <c r="DA189" s="18"/>
      <c r="DB189" s="18"/>
      <c r="DG189" s="18"/>
      <c r="DH189" s="18"/>
      <c r="DI189" s="472"/>
      <c r="DJ189" s="18"/>
      <c r="DK189" s="18"/>
      <c r="DP189" s="1"/>
      <c r="DQ189" s="1"/>
      <c r="DR189" s="473"/>
      <c r="DS189" s="1"/>
      <c r="DT189" s="1"/>
      <c r="DY189" s="18"/>
      <c r="DZ189" s="18"/>
      <c r="EA189" s="472"/>
      <c r="EB189" s="18"/>
      <c r="EC189" s="18"/>
      <c r="EH189" s="18"/>
      <c r="EI189" s="18"/>
      <c r="EJ189" s="472"/>
      <c r="EK189" s="18"/>
      <c r="EL189" s="18"/>
      <c r="EQ189" s="18"/>
      <c r="ER189" s="18"/>
      <c r="ES189" s="472"/>
      <c r="ET189" s="18"/>
      <c r="EU189" s="18"/>
      <c r="EZ189" s="18"/>
      <c r="FA189" s="18"/>
      <c r="FB189" s="472"/>
      <c r="FC189" s="18"/>
      <c r="FD189" s="18"/>
      <c r="FI189" s="18"/>
      <c r="FJ189" s="18"/>
      <c r="FK189" s="472"/>
      <c r="FL189" s="18"/>
      <c r="FM189" s="18"/>
      <c r="FR189" s="18"/>
      <c r="FS189" s="18"/>
      <c r="FT189" s="472"/>
      <c r="FU189" s="18"/>
      <c r="FV189" s="18"/>
      <c r="GA189" s="18"/>
      <c r="GB189" s="18"/>
      <c r="GC189" s="472"/>
      <c r="GD189" s="18"/>
      <c r="GE189" s="18"/>
      <c r="GJ189" s="18"/>
      <c r="GK189" s="18"/>
      <c r="GL189" s="472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4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2"/>
      <c r="JG189" s="18"/>
      <c r="JH189" s="18"/>
      <c r="JM189" s="476"/>
      <c r="JN189" s="476"/>
      <c r="JV189" s="476"/>
      <c r="JW189" s="476"/>
      <c r="JX189" s="477"/>
      <c r="JY189" s="476"/>
      <c r="JZ189" s="476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7"/>
      <c r="LI189" s="18"/>
      <c r="LJ189" s="18"/>
      <c r="LO189" s="476"/>
      <c r="LP189" s="476"/>
      <c r="LQ189" s="472"/>
      <c r="LR189" s="476"/>
      <c r="LS189" s="476"/>
      <c r="MG189" s="476"/>
      <c r="MH189" s="18"/>
      <c r="MI189" s="18"/>
      <c r="MJ189" s="479"/>
      <c r="ML189" s="18"/>
      <c r="MP189" s="18"/>
      <c r="MQ189" s="18"/>
      <c r="MR189" s="18"/>
      <c r="MS189" s="18"/>
      <c r="MT189" s="18"/>
      <c r="MY189" s="3"/>
      <c r="MZ189" s="63"/>
      <c r="NA189" s="487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1898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2387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4651</v>
      </c>
      <c r="BS190" s="3" t="s">
        <v>1430</v>
      </c>
      <c r="BT190" s="50"/>
      <c r="BX190" s="18"/>
      <c r="BY190" s="18"/>
      <c r="BZ190" s="472"/>
      <c r="CA190" s="18"/>
      <c r="CF190" s="18"/>
      <c r="CG190" s="18"/>
      <c r="CH190" s="472"/>
      <c r="CI190" s="18"/>
      <c r="CJ190" s="18"/>
      <c r="CO190" s="18"/>
      <c r="CP190" s="18"/>
      <c r="CQ190" s="472"/>
      <c r="CR190" s="18"/>
      <c r="CS190" s="18"/>
      <c r="CX190" s="18"/>
      <c r="CY190" s="18"/>
      <c r="CZ190" s="472"/>
      <c r="DA190" s="18"/>
      <c r="DB190" s="18"/>
      <c r="DG190" s="18"/>
      <c r="DH190" s="18"/>
      <c r="DI190" s="472"/>
      <c r="DJ190" s="18"/>
      <c r="DK190" s="18"/>
      <c r="DP190" s="1"/>
      <c r="DQ190" s="1"/>
      <c r="DR190" s="473"/>
      <c r="DS190" s="1"/>
      <c r="DT190" s="1"/>
      <c r="DY190" s="18"/>
      <c r="DZ190" s="18"/>
      <c r="EA190" s="472"/>
      <c r="EB190" s="18"/>
      <c r="EC190" s="18"/>
      <c r="EH190" s="18"/>
      <c r="EI190" s="18"/>
      <c r="EJ190" s="472"/>
      <c r="EK190" s="18"/>
      <c r="EL190" s="18"/>
      <c r="EQ190" s="18"/>
      <c r="ER190" s="18"/>
      <c r="ES190" s="472"/>
      <c r="ET190" s="18"/>
      <c r="EU190" s="18"/>
      <c r="EZ190" s="18"/>
      <c r="FA190" s="18"/>
      <c r="FB190" s="472"/>
      <c r="FC190" s="18"/>
      <c r="FD190" s="18"/>
      <c r="FI190" s="18"/>
      <c r="FJ190" s="18"/>
      <c r="FK190" s="472"/>
      <c r="FL190" s="18"/>
      <c r="FM190" s="18"/>
      <c r="FR190" s="18"/>
      <c r="FS190" s="18"/>
      <c r="FT190" s="472"/>
      <c r="FU190" s="18"/>
      <c r="FV190" s="18"/>
      <c r="GA190" s="18"/>
      <c r="GB190" s="18"/>
      <c r="GC190" s="472"/>
      <c r="GD190" s="18"/>
      <c r="GE190" s="18"/>
      <c r="GJ190" s="18"/>
      <c r="GK190" s="18"/>
      <c r="GL190" s="472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4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2"/>
      <c r="JG190" s="18"/>
      <c r="JH190" s="18"/>
      <c r="JM190" s="476"/>
      <c r="JN190" s="476"/>
      <c r="JV190" s="476"/>
      <c r="JW190" s="476"/>
      <c r="JX190" s="477"/>
      <c r="JY190" s="476"/>
      <c r="JZ190" s="476"/>
      <c r="KE190" s="18"/>
      <c r="KF190" s="18"/>
      <c r="KH190" s="18"/>
      <c r="KI190" s="18"/>
      <c r="KN190" s="18"/>
      <c r="KO190" s="18"/>
      <c r="KW190" s="18"/>
      <c r="KX190" s="18"/>
      <c r="LF190" s="482"/>
      <c r="LG190" s="18"/>
      <c r="LH190" s="477"/>
      <c r="LI190" s="18"/>
      <c r="LJ190" s="18"/>
      <c r="LO190" s="476"/>
      <c r="LP190" s="476"/>
      <c r="LQ190" s="472"/>
      <c r="LR190" s="476"/>
      <c r="LS190" s="476"/>
      <c r="MG190" s="476"/>
      <c r="MH190" s="18"/>
      <c r="MI190" s="18"/>
      <c r="MJ190" s="479"/>
      <c r="ML190" s="18"/>
      <c r="MP190" s="18"/>
      <c r="MQ190" s="18"/>
      <c r="MR190" s="18"/>
      <c r="MS190" s="18"/>
      <c r="MT190" s="18"/>
      <c r="MY190" s="484"/>
      <c r="MZ190" s="3"/>
      <c r="NA190" s="487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2377</v>
      </c>
      <c r="BI191" s="18"/>
      <c r="BK191" s="50"/>
      <c r="BN191" s="49" t="s">
        <v>4625</v>
      </c>
      <c r="BQ191" s="89"/>
      <c r="BT191" s="50"/>
      <c r="BX191" s="18"/>
      <c r="BY191" s="18"/>
      <c r="BZ191" s="472"/>
      <c r="CA191" s="18"/>
      <c r="CF191" s="18"/>
      <c r="CG191" s="18"/>
      <c r="CH191" s="472"/>
      <c r="CI191" s="18"/>
      <c r="CJ191" s="18"/>
      <c r="CO191" s="18"/>
      <c r="CP191" s="18"/>
      <c r="CQ191" s="472"/>
      <c r="CR191" s="18"/>
      <c r="CS191" s="18"/>
      <c r="CX191" s="18"/>
      <c r="CY191" s="18"/>
      <c r="CZ191" s="472"/>
      <c r="DA191" s="18"/>
      <c r="DB191" s="18"/>
      <c r="DG191" s="18"/>
      <c r="DH191" s="18"/>
      <c r="DI191" s="472"/>
      <c r="DJ191" s="18"/>
      <c r="DK191" s="18"/>
      <c r="DP191" s="1"/>
      <c r="DQ191" s="1"/>
      <c r="DR191" s="473"/>
      <c r="DS191" s="1"/>
      <c r="DT191" s="1"/>
      <c r="DY191" s="18"/>
      <c r="DZ191" s="18"/>
      <c r="EA191" s="472"/>
      <c r="EB191" s="18"/>
      <c r="EC191" s="18"/>
      <c r="EH191" s="18"/>
      <c r="EI191" s="18"/>
      <c r="EJ191" s="472"/>
      <c r="EK191" s="18"/>
      <c r="EL191" s="18"/>
      <c r="EQ191" s="18"/>
      <c r="ER191" s="18"/>
      <c r="ES191" s="472"/>
      <c r="ET191" s="18"/>
      <c r="EU191" s="18"/>
      <c r="EZ191" s="18"/>
      <c r="FA191" s="18"/>
      <c r="FB191" s="472"/>
      <c r="FC191" s="18"/>
      <c r="FD191" s="18"/>
      <c r="FI191" s="18"/>
      <c r="FJ191" s="18"/>
      <c r="FK191" s="472"/>
      <c r="FL191" s="18"/>
      <c r="FM191" s="18"/>
      <c r="FR191" s="18"/>
      <c r="FS191" s="18"/>
      <c r="FT191" s="472"/>
      <c r="FU191" s="18"/>
      <c r="FV191" s="18"/>
      <c r="GA191" s="18"/>
      <c r="GB191" s="18"/>
      <c r="GC191" s="472"/>
      <c r="GD191" s="18"/>
      <c r="GE191" s="18"/>
      <c r="GJ191" s="18"/>
      <c r="GK191" s="18"/>
      <c r="GL191" s="472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4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9"/>
      <c r="JE191" s="18"/>
      <c r="JF191" s="472"/>
      <c r="JG191" s="18"/>
      <c r="JH191" s="18"/>
      <c r="JM191" s="476"/>
      <c r="JN191" s="476"/>
      <c r="JV191" s="476"/>
      <c r="JW191" s="476"/>
      <c r="JX191" s="477"/>
      <c r="JY191" s="476"/>
      <c r="JZ191" s="476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7"/>
      <c r="LI191" s="18"/>
      <c r="LJ191" s="18"/>
      <c r="LO191" s="476"/>
      <c r="LP191" s="476"/>
      <c r="LQ191" s="472"/>
      <c r="LR191" s="476"/>
      <c r="LS191" s="476"/>
      <c r="MG191" s="476"/>
      <c r="MH191" s="18"/>
      <c r="MI191" s="18"/>
      <c r="MJ191" s="479"/>
      <c r="ML191" s="18"/>
      <c r="MP191" s="18"/>
      <c r="MQ191" s="18"/>
      <c r="MR191" s="18"/>
      <c r="MS191" s="18"/>
      <c r="MT191" s="18"/>
      <c r="MY191" s="3"/>
      <c r="MZ191" s="3"/>
      <c r="NA191" s="487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1899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2388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4652</v>
      </c>
      <c r="BS192" s="3" t="s">
        <v>1431</v>
      </c>
      <c r="BT192" s="50"/>
      <c r="BX192" s="18"/>
      <c r="BY192" s="18"/>
      <c r="BZ192" s="472"/>
      <c r="CA192" s="18"/>
      <c r="CF192" s="18"/>
      <c r="CG192" s="18"/>
      <c r="CH192" s="472"/>
      <c r="CI192" s="18"/>
      <c r="CJ192" s="18"/>
      <c r="CO192" s="18"/>
      <c r="CP192" s="18"/>
      <c r="CQ192" s="472"/>
      <c r="CR192" s="18"/>
      <c r="CS192" s="18"/>
      <c r="CX192" s="18"/>
      <c r="CY192" s="18"/>
      <c r="CZ192" s="472"/>
      <c r="DA192" s="18"/>
      <c r="DB192" s="18"/>
      <c r="DG192" s="18"/>
      <c r="DH192" s="18"/>
      <c r="DI192" s="472"/>
      <c r="DJ192" s="18"/>
      <c r="DK192" s="18"/>
      <c r="DP192" s="1"/>
      <c r="DQ192" s="1"/>
      <c r="DR192" s="473"/>
      <c r="DS192" s="1"/>
      <c r="DT192" s="1"/>
      <c r="DY192" s="18"/>
      <c r="DZ192" s="18"/>
      <c r="EA192" s="472"/>
      <c r="EB192" s="18"/>
      <c r="EC192" s="18"/>
      <c r="EH192" s="18"/>
      <c r="EI192" s="18"/>
      <c r="EJ192" s="472"/>
      <c r="EK192" s="18"/>
      <c r="EL192" s="18"/>
      <c r="EQ192" s="18"/>
      <c r="ER192" s="18"/>
      <c r="ES192" s="472"/>
      <c r="ET192" s="18"/>
      <c r="EU192" s="18"/>
      <c r="EZ192" s="18"/>
      <c r="FA192" s="18"/>
      <c r="FB192" s="472"/>
      <c r="FC192" s="18"/>
      <c r="FD192" s="18"/>
      <c r="FI192" s="18"/>
      <c r="FJ192" s="18"/>
      <c r="FK192" s="472"/>
      <c r="FL192" s="18"/>
      <c r="FM192" s="18"/>
      <c r="FR192" s="18"/>
      <c r="FS192" s="18"/>
      <c r="FT192" s="472"/>
      <c r="FU192" s="18"/>
      <c r="FV192" s="18"/>
      <c r="GA192" s="18"/>
      <c r="GB192" s="18"/>
      <c r="GC192" s="472"/>
      <c r="GD192" s="18"/>
      <c r="GE192" s="18"/>
      <c r="GJ192" s="18"/>
      <c r="GK192" s="18"/>
      <c r="GL192" s="472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4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2"/>
      <c r="JG192" s="18"/>
      <c r="JH192" s="18"/>
      <c r="JM192" s="476"/>
      <c r="JN192" s="476"/>
      <c r="JV192" s="476"/>
      <c r="JW192" s="476"/>
      <c r="JX192" s="477"/>
      <c r="JY192" s="476"/>
      <c r="JZ192" s="476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7"/>
      <c r="LI192" s="18"/>
      <c r="LJ192" s="18"/>
      <c r="LO192" s="476"/>
      <c r="LP192" s="476"/>
      <c r="LQ192" s="472"/>
      <c r="LR192" s="476"/>
      <c r="LS192" s="476"/>
      <c r="MG192" s="476"/>
      <c r="MH192" s="18"/>
      <c r="MI192" s="18"/>
      <c r="MJ192" s="479"/>
      <c r="ML192" s="18"/>
      <c r="MP192" s="18"/>
      <c r="MQ192" s="18"/>
      <c r="MR192" s="18"/>
      <c r="MS192" s="18"/>
      <c r="MT192" s="18"/>
      <c r="MY192" s="3"/>
      <c r="MZ192" s="3"/>
      <c r="NA192" s="487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2377</v>
      </c>
      <c r="BI193" s="18"/>
      <c r="BK193" s="50"/>
      <c r="BN193" s="49" t="s">
        <v>4625</v>
      </c>
      <c r="BQ193" s="89"/>
      <c r="BT193" s="50"/>
      <c r="BX193" s="479"/>
      <c r="BY193" s="18"/>
      <c r="BZ193" s="472"/>
      <c r="CA193" s="18"/>
      <c r="CF193" s="479"/>
      <c r="CG193" s="18"/>
      <c r="CH193" s="472"/>
      <c r="CI193" s="18"/>
      <c r="CJ193" s="18"/>
      <c r="CO193" s="479"/>
      <c r="CP193" s="18"/>
      <c r="CQ193" s="472"/>
      <c r="CR193" s="18"/>
      <c r="CS193" s="18"/>
      <c r="CX193" s="479"/>
      <c r="CY193" s="18"/>
      <c r="CZ193" s="472"/>
      <c r="DA193" s="18"/>
      <c r="DB193" s="18"/>
      <c r="DG193" s="479"/>
      <c r="DH193" s="18"/>
      <c r="DI193" s="472"/>
      <c r="DJ193" s="18"/>
      <c r="DK193" s="18"/>
      <c r="DP193" s="481"/>
      <c r="DQ193" s="1"/>
      <c r="DR193" s="473"/>
      <c r="DS193" s="1"/>
      <c r="DT193" s="1"/>
      <c r="DY193" s="479"/>
      <c r="DZ193" s="18"/>
      <c r="EA193" s="472"/>
      <c r="EB193" s="18"/>
      <c r="EC193" s="18"/>
      <c r="EH193" s="479"/>
      <c r="EI193" s="18"/>
      <c r="EJ193" s="472"/>
      <c r="EK193" s="18"/>
      <c r="EL193" s="18"/>
      <c r="EQ193" s="479"/>
      <c r="ER193" s="18"/>
      <c r="ES193" s="472"/>
      <c r="ET193" s="18"/>
      <c r="EU193" s="18"/>
      <c r="EZ193" s="479"/>
      <c r="FA193" s="18"/>
      <c r="FB193" s="472"/>
      <c r="FC193" s="18"/>
      <c r="FD193" s="18"/>
      <c r="FI193" s="479"/>
      <c r="FJ193" s="18"/>
      <c r="FK193" s="472"/>
      <c r="FL193" s="18"/>
      <c r="FM193" s="18"/>
      <c r="FR193" s="482"/>
      <c r="FS193" s="18"/>
      <c r="FT193" s="472"/>
      <c r="FU193" s="18"/>
      <c r="FV193" s="18"/>
      <c r="GA193" s="479"/>
      <c r="GB193" s="18"/>
      <c r="GC193" s="472"/>
      <c r="GD193" s="18"/>
      <c r="GE193" s="18"/>
      <c r="GJ193" s="479"/>
      <c r="GK193" s="18"/>
      <c r="GL193" s="472"/>
      <c r="GM193" s="18"/>
      <c r="GN193" s="18"/>
      <c r="HB193" s="482"/>
      <c r="HC193" s="18"/>
      <c r="HE193" s="18"/>
      <c r="HF193" s="18"/>
      <c r="HK193" s="482"/>
      <c r="HL193" s="18"/>
      <c r="HN193" s="18"/>
      <c r="HO193" s="18"/>
      <c r="HT193" s="18"/>
      <c r="HU193" s="474"/>
      <c r="HW193" s="18"/>
      <c r="HX193" s="18"/>
      <c r="HY193" s="18"/>
      <c r="IL193" s="479"/>
      <c r="IM193" s="18"/>
      <c r="IO193" s="18"/>
      <c r="IP193" s="18"/>
      <c r="IU193" s="482"/>
      <c r="IV193" s="18"/>
      <c r="IX193" s="18"/>
      <c r="IY193" s="18"/>
      <c r="JD193" s="18"/>
      <c r="JE193" s="18"/>
      <c r="JF193" s="472"/>
      <c r="JG193" s="18"/>
      <c r="JH193" s="18"/>
      <c r="JM193" s="479"/>
      <c r="JN193" s="476"/>
      <c r="JV193" s="479"/>
      <c r="JW193" s="476"/>
      <c r="JX193" s="477"/>
      <c r="JY193" s="476"/>
      <c r="JZ193" s="476"/>
      <c r="KE193" s="482"/>
      <c r="KF193" s="18"/>
      <c r="KH193" s="18"/>
      <c r="KI193" s="18"/>
      <c r="KN193" s="482"/>
      <c r="KO193" s="18"/>
      <c r="KW193" s="482"/>
      <c r="KX193" s="18"/>
      <c r="LF193" s="18"/>
      <c r="LG193" s="18"/>
      <c r="LH193" s="477"/>
      <c r="LI193" s="18"/>
      <c r="LJ193" s="18"/>
      <c r="LO193" s="479"/>
      <c r="LP193" s="476"/>
      <c r="LQ193" s="472"/>
      <c r="LR193" s="476"/>
      <c r="LS193" s="476"/>
      <c r="MG193" s="476"/>
      <c r="MH193" s="18"/>
      <c r="MI193" s="18"/>
      <c r="MJ193" s="479"/>
      <c r="ML193" s="18"/>
      <c r="MP193" s="482"/>
      <c r="MQ193" s="18"/>
      <c r="MR193" s="18"/>
      <c r="MS193" s="18"/>
      <c r="MT193" s="18"/>
      <c r="MY193" s="3"/>
      <c r="MZ193" s="63"/>
      <c r="NA193" s="487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1900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2389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4653</v>
      </c>
      <c r="BS194" s="3" t="s">
        <v>1432</v>
      </c>
      <c r="BT194" s="50"/>
      <c r="BX194" s="18"/>
      <c r="BY194" s="18"/>
      <c r="BZ194" s="472"/>
      <c r="CA194" s="18"/>
      <c r="CF194" s="18"/>
      <c r="CG194" s="18"/>
      <c r="CH194" s="472"/>
      <c r="CI194" s="18"/>
      <c r="CJ194" s="18"/>
      <c r="CO194" s="18"/>
      <c r="CP194" s="18"/>
      <c r="CQ194" s="472"/>
      <c r="CR194" s="18"/>
      <c r="CS194" s="18"/>
      <c r="CX194" s="18"/>
      <c r="CY194" s="18"/>
      <c r="CZ194" s="472"/>
      <c r="DA194" s="18"/>
      <c r="DB194" s="18"/>
      <c r="DG194" s="18"/>
      <c r="DH194" s="18"/>
      <c r="DI194" s="472"/>
      <c r="DJ194" s="18"/>
      <c r="DK194" s="18"/>
      <c r="DP194" s="1"/>
      <c r="DQ194" s="1"/>
      <c r="DR194" s="473"/>
      <c r="DS194" s="1"/>
      <c r="DT194" s="1"/>
      <c r="DY194" s="18"/>
      <c r="DZ194" s="18"/>
      <c r="EA194" s="472"/>
      <c r="EB194" s="18"/>
      <c r="EC194" s="18"/>
      <c r="EH194" s="18"/>
      <c r="EI194" s="18"/>
      <c r="EJ194" s="472"/>
      <c r="EK194" s="18"/>
      <c r="EL194" s="18"/>
      <c r="EQ194" s="18"/>
      <c r="ER194" s="18"/>
      <c r="ES194" s="472"/>
      <c r="ET194" s="18"/>
      <c r="EU194" s="18"/>
      <c r="EZ194" s="18"/>
      <c r="FA194" s="18"/>
      <c r="FB194" s="472"/>
      <c r="FC194" s="18"/>
      <c r="FD194" s="18"/>
      <c r="FI194" s="18"/>
      <c r="FJ194" s="18"/>
      <c r="FK194" s="472"/>
      <c r="FL194" s="18"/>
      <c r="FM194" s="18"/>
      <c r="FR194" s="18"/>
      <c r="FS194" s="18"/>
      <c r="FT194" s="472"/>
      <c r="FU194" s="18"/>
      <c r="FV194" s="18"/>
      <c r="GA194" s="18"/>
      <c r="GB194" s="18"/>
      <c r="GC194" s="472"/>
      <c r="GD194" s="18"/>
      <c r="GE194" s="18"/>
      <c r="GJ194" s="18"/>
      <c r="GK194" s="18"/>
      <c r="GL194" s="472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4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2"/>
      <c r="JG194" s="18"/>
      <c r="JH194" s="18"/>
      <c r="JM194" s="476"/>
      <c r="JN194" s="476"/>
      <c r="JV194" s="476"/>
      <c r="JW194" s="476"/>
      <c r="JX194" s="477"/>
      <c r="JY194" s="476"/>
      <c r="JZ194" s="476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8"/>
      <c r="LI194" s="18"/>
      <c r="LJ194" s="18"/>
      <c r="LO194" s="476"/>
      <c r="LP194" s="476"/>
      <c r="LQ194" s="472"/>
      <c r="LR194" s="476"/>
      <c r="LS194" s="476"/>
      <c r="MG194" s="476"/>
      <c r="MH194" s="18"/>
      <c r="MI194" s="18"/>
      <c r="MJ194" s="479"/>
      <c r="ML194" s="18"/>
      <c r="MP194" s="18"/>
      <c r="MQ194" s="18"/>
      <c r="MR194" s="18"/>
      <c r="MS194" s="18"/>
      <c r="MT194" s="18"/>
      <c r="MY194" s="3"/>
      <c r="MZ194" s="63"/>
      <c r="NA194" s="485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2377</v>
      </c>
      <c r="BI195" s="18"/>
      <c r="BK195" s="50"/>
      <c r="BN195" s="49" t="s">
        <v>4625</v>
      </c>
      <c r="BQ195" s="89"/>
      <c r="BT195" s="50"/>
      <c r="BX195" s="351"/>
      <c r="BY195" s="18"/>
      <c r="BZ195" s="472"/>
      <c r="CA195" s="18"/>
      <c r="CF195" s="351"/>
      <c r="CG195" s="18"/>
      <c r="CH195" s="472"/>
      <c r="CI195" s="18"/>
      <c r="CJ195" s="18"/>
      <c r="CO195" s="351"/>
      <c r="CP195" s="18"/>
      <c r="CQ195" s="472"/>
      <c r="CR195" s="18"/>
      <c r="CS195" s="18"/>
      <c r="CX195" s="351"/>
      <c r="CY195" s="18"/>
      <c r="CZ195" s="472"/>
      <c r="DA195" s="18"/>
      <c r="DB195" s="18"/>
      <c r="DG195" s="351"/>
      <c r="DH195" s="18"/>
      <c r="DI195" s="472"/>
      <c r="DJ195" s="18"/>
      <c r="DK195" s="18"/>
      <c r="DP195" s="381"/>
      <c r="DQ195" s="1"/>
      <c r="DR195" s="473"/>
      <c r="DS195" s="1"/>
      <c r="DT195" s="1"/>
      <c r="DY195" s="351"/>
      <c r="DZ195" s="18"/>
      <c r="EA195" s="472"/>
      <c r="EB195" s="18"/>
      <c r="EC195" s="18"/>
      <c r="EH195" s="351"/>
      <c r="EI195" s="18"/>
      <c r="EJ195" s="472"/>
      <c r="EK195" s="18"/>
      <c r="EL195" s="18"/>
      <c r="EQ195" s="351"/>
      <c r="ER195" s="18"/>
      <c r="ES195" s="472"/>
      <c r="ET195" s="18"/>
      <c r="EU195" s="18"/>
      <c r="EZ195" s="351"/>
      <c r="FA195" s="18"/>
      <c r="FB195" s="472"/>
      <c r="FC195" s="18"/>
      <c r="FD195" s="18"/>
      <c r="FI195" s="351"/>
      <c r="FJ195" s="18"/>
      <c r="FK195" s="472"/>
      <c r="FL195" s="18"/>
      <c r="FM195" s="18"/>
      <c r="FR195" s="351"/>
      <c r="FS195" s="18"/>
      <c r="FT195" s="472"/>
      <c r="FU195" s="18"/>
      <c r="FV195" s="18"/>
      <c r="GA195" s="351"/>
      <c r="GB195" s="18"/>
      <c r="GC195" s="472"/>
      <c r="GD195" s="18"/>
      <c r="GE195" s="18"/>
      <c r="GJ195" s="351"/>
      <c r="GK195" s="18"/>
      <c r="GL195" s="472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4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3"/>
      <c r="JG195" s="18"/>
      <c r="JH195" s="18"/>
      <c r="JM195" s="475"/>
      <c r="JN195" s="476"/>
      <c r="JV195" s="475"/>
      <c r="JW195" s="476"/>
      <c r="JX195" s="477"/>
      <c r="JY195" s="476"/>
      <c r="JZ195" s="476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8"/>
      <c r="LI195" s="18"/>
      <c r="LJ195" s="18"/>
      <c r="LO195" s="475"/>
      <c r="LP195" s="476"/>
      <c r="LQ195" s="472"/>
      <c r="LR195" s="476"/>
      <c r="LS195" s="476"/>
      <c r="MG195" s="476"/>
      <c r="MH195" s="18"/>
      <c r="MI195" s="18"/>
      <c r="MJ195" s="479"/>
      <c r="ML195" s="18"/>
      <c r="MP195" s="351"/>
      <c r="MQ195" s="18"/>
      <c r="MR195" s="18"/>
      <c r="MS195" s="18"/>
      <c r="MT195" s="18"/>
      <c r="MY195" s="60"/>
      <c r="MZ195" s="3"/>
      <c r="NA195" s="480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1901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2390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4654</v>
      </c>
      <c r="BS196" s="3" t="s">
        <v>1433</v>
      </c>
      <c r="BT196" s="50"/>
      <c r="BX196" s="18"/>
      <c r="BY196" s="18"/>
      <c r="BZ196" s="472"/>
      <c r="CA196" s="18"/>
      <c r="CF196" s="18"/>
      <c r="CG196" s="18"/>
      <c r="CH196" s="472"/>
      <c r="CI196" s="18"/>
      <c r="CJ196" s="18"/>
      <c r="CO196" s="18"/>
      <c r="CP196" s="18"/>
      <c r="CQ196" s="472"/>
      <c r="CR196" s="18"/>
      <c r="CS196" s="18"/>
      <c r="CX196" s="18"/>
      <c r="CY196" s="18"/>
      <c r="CZ196" s="472"/>
      <c r="DA196" s="18"/>
      <c r="DB196" s="18"/>
      <c r="DG196" s="18"/>
      <c r="DH196" s="18"/>
      <c r="DI196" s="472"/>
      <c r="DJ196" s="18"/>
      <c r="DK196" s="18"/>
      <c r="DP196" s="1"/>
      <c r="DQ196" s="1"/>
      <c r="DR196" s="473"/>
      <c r="DS196" s="1"/>
      <c r="DT196" s="1"/>
      <c r="DY196" s="18"/>
      <c r="DZ196" s="18"/>
      <c r="EA196" s="472"/>
      <c r="EB196" s="18"/>
      <c r="EC196" s="18"/>
      <c r="EH196" s="18"/>
      <c r="EI196" s="18"/>
      <c r="EJ196" s="472"/>
      <c r="EK196" s="18"/>
      <c r="EL196" s="18"/>
      <c r="EQ196" s="18"/>
      <c r="ER196" s="18"/>
      <c r="ES196" s="472"/>
      <c r="ET196" s="18"/>
      <c r="EU196" s="18"/>
      <c r="EZ196" s="18"/>
      <c r="FA196" s="18"/>
      <c r="FB196" s="472"/>
      <c r="FC196" s="18"/>
      <c r="FD196" s="18"/>
      <c r="FI196" s="18"/>
      <c r="FJ196" s="18"/>
      <c r="FK196" s="472"/>
      <c r="FL196" s="18"/>
      <c r="FM196" s="18"/>
      <c r="FR196" s="18"/>
      <c r="FS196" s="18"/>
      <c r="FT196" s="472"/>
      <c r="FU196" s="18"/>
      <c r="FV196" s="18"/>
      <c r="GA196" s="18"/>
      <c r="GB196" s="18"/>
      <c r="GC196" s="472"/>
      <c r="GD196" s="18"/>
      <c r="GE196" s="18"/>
      <c r="GJ196" s="18"/>
      <c r="GK196" s="18"/>
      <c r="GL196" s="472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4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3"/>
      <c r="JG196" s="18"/>
      <c r="JH196" s="18"/>
      <c r="JM196" s="476"/>
      <c r="JN196" s="476"/>
      <c r="JV196" s="476"/>
      <c r="JW196" s="476"/>
      <c r="JX196" s="477"/>
      <c r="JY196" s="476"/>
      <c r="JZ196" s="476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7"/>
      <c r="LI196" s="18"/>
      <c r="LJ196" s="18"/>
      <c r="LO196" s="476"/>
      <c r="LP196" s="476"/>
      <c r="LQ196" s="472"/>
      <c r="LR196" s="476"/>
      <c r="LS196" s="476"/>
      <c r="MG196" s="476"/>
      <c r="MH196" s="18"/>
      <c r="MI196" s="18"/>
      <c r="MJ196" s="479"/>
      <c r="ML196" s="18"/>
      <c r="MP196" s="18"/>
      <c r="MQ196" s="18"/>
      <c r="MR196" s="18"/>
      <c r="MS196" s="18"/>
      <c r="MT196" s="18"/>
      <c r="MY196" s="60"/>
      <c r="MZ196" s="3"/>
      <c r="NA196" s="487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8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2377</v>
      </c>
      <c r="BI197" s="18"/>
      <c r="BK197" s="50"/>
      <c r="BN197" s="49" t="s">
        <v>4625</v>
      </c>
      <c r="BO197" s="9"/>
      <c r="BP197" s="63"/>
      <c r="BQ197" s="89"/>
      <c r="BR197" s="59"/>
      <c r="BS197" s="59"/>
      <c r="BT197" s="50"/>
      <c r="BX197" s="18"/>
      <c r="BY197" s="18"/>
      <c r="BZ197" s="472"/>
      <c r="CA197" s="18"/>
      <c r="CF197" s="18"/>
      <c r="CG197" s="18"/>
      <c r="CH197" s="472"/>
      <c r="CI197" s="18"/>
      <c r="CJ197" s="18"/>
      <c r="CO197" s="18"/>
      <c r="CP197" s="18"/>
      <c r="CQ197" s="472"/>
      <c r="CR197" s="18"/>
      <c r="CS197" s="18"/>
      <c r="CX197" s="18"/>
      <c r="CY197" s="18"/>
      <c r="CZ197" s="472"/>
      <c r="DA197" s="18"/>
      <c r="DB197" s="18"/>
      <c r="DG197" s="18"/>
      <c r="DH197" s="18"/>
      <c r="DI197" s="472"/>
      <c r="DJ197" s="18"/>
      <c r="DK197" s="18"/>
      <c r="DP197" s="1"/>
      <c r="DQ197" s="1"/>
      <c r="DR197" s="473"/>
      <c r="DS197" s="1"/>
      <c r="DT197" s="1"/>
      <c r="DY197" s="18"/>
      <c r="DZ197" s="18"/>
      <c r="EA197" s="472"/>
      <c r="EB197" s="18"/>
      <c r="EC197" s="18"/>
      <c r="EH197" s="18"/>
      <c r="EI197" s="18"/>
      <c r="EJ197" s="472"/>
      <c r="EK197" s="18"/>
      <c r="EL197" s="18"/>
      <c r="EQ197" s="18"/>
      <c r="ER197" s="18"/>
      <c r="ES197" s="472"/>
      <c r="ET197" s="18"/>
      <c r="EU197" s="18"/>
      <c r="EZ197" s="18"/>
      <c r="FA197" s="18"/>
      <c r="FB197" s="472"/>
      <c r="FC197" s="18"/>
      <c r="FD197" s="18"/>
      <c r="FI197" s="18"/>
      <c r="FJ197" s="18"/>
      <c r="FK197" s="472"/>
      <c r="FL197" s="18"/>
      <c r="FM197" s="18"/>
      <c r="FR197" s="18"/>
      <c r="FS197" s="18"/>
      <c r="FT197" s="472"/>
      <c r="FU197" s="18"/>
      <c r="FV197" s="18"/>
      <c r="GA197" s="18"/>
      <c r="GB197" s="18"/>
      <c r="GC197" s="472"/>
      <c r="GD197" s="18"/>
      <c r="GE197" s="18"/>
      <c r="GJ197" s="18"/>
      <c r="GK197" s="18"/>
      <c r="GL197" s="472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4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2"/>
      <c r="JG197" s="18"/>
      <c r="JH197" s="18"/>
      <c r="JM197" s="476"/>
      <c r="JN197" s="476"/>
      <c r="JV197" s="476"/>
      <c r="JW197" s="476"/>
      <c r="JX197" s="477"/>
      <c r="JY197" s="476"/>
      <c r="JZ197" s="476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7"/>
      <c r="LI197" s="18"/>
      <c r="LJ197" s="18"/>
      <c r="LO197" s="476"/>
      <c r="LP197" s="476"/>
      <c r="LQ197" s="472"/>
      <c r="LR197" s="476"/>
      <c r="LS197" s="476"/>
      <c r="MG197" s="476"/>
      <c r="MH197" s="18"/>
      <c r="MI197" s="18"/>
      <c r="MJ197" s="479"/>
      <c r="ML197" s="18"/>
      <c r="MP197" s="18"/>
      <c r="MQ197" s="18"/>
      <c r="MR197" s="18"/>
      <c r="MS197" s="18"/>
      <c r="MT197" s="18"/>
      <c r="MY197" s="3"/>
      <c r="MZ197" s="3"/>
      <c r="NA197" s="487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8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1902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2391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4655</v>
      </c>
      <c r="BS198" s="3" t="s">
        <v>1434</v>
      </c>
      <c r="BT198" s="50"/>
      <c r="BX198" s="351"/>
      <c r="BY198" s="18"/>
      <c r="BZ198" s="472"/>
      <c r="CA198" s="18"/>
      <c r="CF198" s="351"/>
      <c r="CG198" s="18"/>
      <c r="CH198" s="472"/>
      <c r="CI198" s="18"/>
      <c r="CJ198" s="18"/>
      <c r="CO198" s="351"/>
      <c r="CP198" s="18"/>
      <c r="CQ198" s="472"/>
      <c r="CR198" s="18"/>
      <c r="CS198" s="18"/>
      <c r="CX198" s="351"/>
      <c r="CY198" s="18"/>
      <c r="CZ198" s="472"/>
      <c r="DA198" s="18"/>
      <c r="DB198" s="18"/>
      <c r="DG198" s="351"/>
      <c r="DH198" s="18"/>
      <c r="DI198" s="472"/>
      <c r="DJ198" s="18"/>
      <c r="DK198" s="18"/>
      <c r="DP198" s="381"/>
      <c r="DQ198" s="1"/>
      <c r="DR198" s="473"/>
      <c r="DS198" s="1"/>
      <c r="DT198" s="1"/>
      <c r="DY198" s="351"/>
      <c r="DZ198" s="18"/>
      <c r="EA198" s="472"/>
      <c r="EB198" s="18"/>
      <c r="EC198" s="18"/>
      <c r="EH198" s="351"/>
      <c r="EI198" s="18"/>
      <c r="EJ198" s="472"/>
      <c r="EK198" s="18"/>
      <c r="EL198" s="18"/>
      <c r="EQ198" s="351"/>
      <c r="ER198" s="18"/>
      <c r="ES198" s="472"/>
      <c r="ET198" s="18"/>
      <c r="EU198" s="18"/>
      <c r="EZ198" s="351"/>
      <c r="FA198" s="18"/>
      <c r="FB198" s="472"/>
      <c r="FC198" s="18"/>
      <c r="FD198" s="18"/>
      <c r="FI198" s="351"/>
      <c r="FJ198" s="18"/>
      <c r="FK198" s="472"/>
      <c r="FL198" s="18"/>
      <c r="FM198" s="18"/>
      <c r="FR198" s="351"/>
      <c r="FS198" s="18"/>
      <c r="FT198" s="472"/>
      <c r="FU198" s="18"/>
      <c r="FV198" s="18"/>
      <c r="GA198" s="351"/>
      <c r="GB198" s="18"/>
      <c r="GC198" s="472"/>
      <c r="GD198" s="18"/>
      <c r="GE198" s="18"/>
      <c r="GJ198" s="351"/>
      <c r="GK198" s="18"/>
      <c r="GL198" s="472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4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2"/>
      <c r="JG198" s="18"/>
      <c r="JH198" s="18"/>
      <c r="JM198" s="475"/>
      <c r="JN198" s="476"/>
      <c r="JV198" s="475"/>
      <c r="JW198" s="476"/>
      <c r="JX198" s="477"/>
      <c r="JY198" s="476"/>
      <c r="JZ198" s="476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7"/>
      <c r="LI198" s="18"/>
      <c r="LJ198" s="18"/>
      <c r="LO198" s="475"/>
      <c r="LP198" s="476"/>
      <c r="LQ198" s="472"/>
      <c r="LR198" s="476"/>
      <c r="LS198" s="476"/>
      <c r="MG198" s="476"/>
      <c r="MH198" s="18"/>
      <c r="MI198" s="18"/>
      <c r="MJ198" s="479"/>
      <c r="ML198" s="18"/>
      <c r="MP198" s="351"/>
      <c r="MQ198" s="18"/>
      <c r="MR198" s="18"/>
      <c r="MS198" s="18"/>
      <c r="MT198" s="18"/>
      <c r="MY198" s="3"/>
      <c r="MZ198" s="3"/>
      <c r="NA198" s="487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8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2377</v>
      </c>
      <c r="BI199" s="18"/>
      <c r="BK199" s="50"/>
      <c r="BN199" s="49" t="s">
        <v>4625</v>
      </c>
      <c r="BO199" s="9"/>
      <c r="BP199" s="63"/>
      <c r="BQ199" s="89"/>
      <c r="BR199" s="59"/>
      <c r="BS199" s="59"/>
      <c r="BT199" s="50"/>
      <c r="BX199" s="351"/>
      <c r="BY199" s="18"/>
      <c r="BZ199" s="472"/>
      <c r="CA199" s="18"/>
      <c r="CF199" s="351"/>
      <c r="CG199" s="18"/>
      <c r="CH199" s="472"/>
      <c r="CI199" s="18"/>
      <c r="CJ199" s="18"/>
      <c r="CO199" s="351"/>
      <c r="CP199" s="18"/>
      <c r="CQ199" s="472"/>
      <c r="CR199" s="18"/>
      <c r="CS199" s="18"/>
      <c r="CX199" s="351"/>
      <c r="CY199" s="18"/>
      <c r="CZ199" s="472"/>
      <c r="DA199" s="18"/>
      <c r="DB199" s="18"/>
      <c r="DG199" s="351"/>
      <c r="DH199" s="18"/>
      <c r="DI199" s="472"/>
      <c r="DJ199" s="18"/>
      <c r="DK199" s="18"/>
      <c r="DP199" s="381"/>
      <c r="DQ199" s="1"/>
      <c r="DR199" s="473"/>
      <c r="DS199" s="1"/>
      <c r="DT199" s="1"/>
      <c r="DY199" s="351"/>
      <c r="DZ199" s="18"/>
      <c r="EA199" s="472"/>
      <c r="EB199" s="18"/>
      <c r="EC199" s="18"/>
      <c r="EH199" s="351"/>
      <c r="EI199" s="18"/>
      <c r="EJ199" s="472"/>
      <c r="EK199" s="18"/>
      <c r="EL199" s="18"/>
      <c r="EQ199" s="351"/>
      <c r="ER199" s="18"/>
      <c r="ES199" s="472"/>
      <c r="ET199" s="18"/>
      <c r="EU199" s="18"/>
      <c r="EZ199" s="351"/>
      <c r="FA199" s="18"/>
      <c r="FB199" s="472"/>
      <c r="FC199" s="18"/>
      <c r="FD199" s="18"/>
      <c r="FI199" s="351"/>
      <c r="FJ199" s="18"/>
      <c r="FK199" s="472"/>
      <c r="FL199" s="18"/>
      <c r="FM199" s="18"/>
      <c r="FR199" s="351"/>
      <c r="FS199" s="18"/>
      <c r="FT199" s="472"/>
      <c r="FU199" s="18"/>
      <c r="FV199" s="18"/>
      <c r="GA199" s="351"/>
      <c r="GB199" s="18"/>
      <c r="GC199" s="472"/>
      <c r="GD199" s="18"/>
      <c r="GE199" s="18"/>
      <c r="GJ199" s="351"/>
      <c r="GK199" s="18"/>
      <c r="GL199" s="472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4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2"/>
      <c r="JG199" s="18"/>
      <c r="JH199" s="18"/>
      <c r="JM199" s="475"/>
      <c r="JN199" s="476"/>
      <c r="JV199" s="475"/>
      <c r="JW199" s="476"/>
      <c r="JX199" s="477"/>
      <c r="JY199" s="476"/>
      <c r="JZ199" s="476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7"/>
      <c r="LI199" s="18"/>
      <c r="LJ199" s="18"/>
      <c r="LO199" s="475"/>
      <c r="LP199" s="476"/>
      <c r="LQ199" s="472"/>
      <c r="LR199" s="476"/>
      <c r="LS199" s="476"/>
      <c r="MG199" s="476"/>
      <c r="MH199" s="18"/>
      <c r="MI199" s="18"/>
      <c r="MJ199" s="479"/>
      <c r="ML199" s="18"/>
      <c r="MP199" s="351"/>
      <c r="MQ199" s="18"/>
      <c r="MR199" s="18"/>
      <c r="MS199" s="18"/>
      <c r="MT199" s="18"/>
      <c r="MY199" s="3"/>
      <c r="MZ199" s="3"/>
      <c r="NA199" s="486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8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1903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2392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4656</v>
      </c>
      <c r="BS200" t="s">
        <v>1440</v>
      </c>
      <c r="BT200" s="50"/>
      <c r="BX200" s="18"/>
      <c r="BY200" s="18"/>
      <c r="BZ200" s="472"/>
      <c r="CA200" s="18"/>
      <c r="CF200" s="18"/>
      <c r="CG200" s="18"/>
      <c r="CH200" s="472"/>
      <c r="CI200" s="18"/>
      <c r="CJ200" s="18"/>
      <c r="CO200" s="18"/>
      <c r="CP200" s="18"/>
      <c r="CQ200" s="472"/>
      <c r="CR200" s="18"/>
      <c r="CS200" s="18"/>
      <c r="CX200" s="18"/>
      <c r="CY200" s="18"/>
      <c r="CZ200" s="472"/>
      <c r="DA200" s="18"/>
      <c r="DB200" s="18"/>
      <c r="DG200" s="18"/>
      <c r="DH200" s="18"/>
      <c r="DI200" s="472"/>
      <c r="DJ200" s="18"/>
      <c r="DK200" s="18"/>
      <c r="DP200" s="1"/>
      <c r="DQ200" s="1"/>
      <c r="DR200" s="473"/>
      <c r="DS200" s="1"/>
      <c r="DT200" s="1"/>
      <c r="DY200" s="18"/>
      <c r="DZ200" s="18"/>
      <c r="EA200" s="472"/>
      <c r="EB200" s="18"/>
      <c r="EC200" s="18"/>
      <c r="EH200" s="18"/>
      <c r="EI200" s="18"/>
      <c r="EJ200" s="472"/>
      <c r="EK200" s="18"/>
      <c r="EL200" s="18"/>
      <c r="EQ200" s="18"/>
      <c r="ER200" s="18"/>
      <c r="ES200" s="472"/>
      <c r="ET200" s="18"/>
      <c r="EU200" s="18"/>
      <c r="EZ200" s="18"/>
      <c r="FA200" s="18"/>
      <c r="FB200" s="472"/>
      <c r="FC200" s="18"/>
      <c r="FD200" s="18"/>
      <c r="FI200" s="18"/>
      <c r="FJ200" s="18"/>
      <c r="FK200" s="472"/>
      <c r="FL200" s="18"/>
      <c r="FM200" s="18"/>
      <c r="FR200" s="18"/>
      <c r="FS200" s="18"/>
      <c r="FT200" s="472"/>
      <c r="FU200" s="18"/>
      <c r="FV200" s="18"/>
      <c r="GA200" s="18"/>
      <c r="GB200" s="18"/>
      <c r="GC200" s="472"/>
      <c r="GD200" s="18"/>
      <c r="GE200" s="18"/>
      <c r="GJ200" s="18"/>
      <c r="GK200" s="18"/>
      <c r="GL200" s="472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4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2"/>
      <c r="JG200" s="18"/>
      <c r="JH200" s="18"/>
      <c r="JM200" s="476"/>
      <c r="JN200" s="476"/>
      <c r="JV200" s="476"/>
      <c r="JW200" s="476"/>
      <c r="JX200" s="477"/>
      <c r="JY200" s="476"/>
      <c r="JZ200" s="476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8"/>
      <c r="LI200" s="18"/>
      <c r="LJ200" s="18"/>
      <c r="LO200" s="476"/>
      <c r="LP200" s="476"/>
      <c r="LQ200" s="472"/>
      <c r="LR200" s="476"/>
      <c r="LS200" s="476"/>
      <c r="MG200" s="476"/>
      <c r="MH200" s="18"/>
      <c r="MI200" s="18"/>
      <c r="MJ200" s="479"/>
      <c r="ML200" s="18"/>
      <c r="MP200" s="18"/>
      <c r="MQ200" s="18"/>
      <c r="MR200" s="18"/>
      <c r="MS200" s="18"/>
      <c r="MT200" s="18"/>
      <c r="MY200" s="60"/>
      <c r="MZ200" s="3"/>
      <c r="NA200" s="485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8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2377</v>
      </c>
      <c r="BI201" s="18"/>
      <c r="BK201" s="50"/>
      <c r="BN201" s="49" t="s">
        <v>4625</v>
      </c>
      <c r="BO201" s="9"/>
      <c r="BQ201" s="89"/>
      <c r="BR201" s="59"/>
      <c r="BS201" s="59"/>
      <c r="BT201" s="50"/>
      <c r="BX201" s="351"/>
      <c r="BY201" s="18"/>
      <c r="BZ201" s="472"/>
      <c r="CA201" s="18"/>
      <c r="CF201" s="351"/>
      <c r="CG201" s="18"/>
      <c r="CH201" s="472"/>
      <c r="CI201" s="18"/>
      <c r="CJ201" s="18"/>
      <c r="CO201" s="351"/>
      <c r="CP201" s="18"/>
      <c r="CQ201" s="472"/>
      <c r="CR201" s="18"/>
      <c r="CS201" s="18"/>
      <c r="CX201" s="351"/>
      <c r="CY201" s="18"/>
      <c r="CZ201" s="472"/>
      <c r="DA201" s="18"/>
      <c r="DB201" s="18"/>
      <c r="DG201" s="351"/>
      <c r="DH201" s="18"/>
      <c r="DI201" s="472"/>
      <c r="DJ201" s="18"/>
      <c r="DK201" s="18"/>
      <c r="DP201" s="381"/>
      <c r="DQ201" s="1"/>
      <c r="DR201" s="473"/>
      <c r="DS201" s="1"/>
      <c r="DT201" s="1"/>
      <c r="DY201" s="351"/>
      <c r="DZ201" s="18"/>
      <c r="EA201" s="472"/>
      <c r="EB201" s="18"/>
      <c r="EC201" s="18"/>
      <c r="EH201" s="351"/>
      <c r="EI201" s="18"/>
      <c r="EJ201" s="472"/>
      <c r="EK201" s="18"/>
      <c r="EL201" s="18"/>
      <c r="EQ201" s="351"/>
      <c r="ER201" s="18"/>
      <c r="ES201" s="472"/>
      <c r="ET201" s="18"/>
      <c r="EU201" s="18"/>
      <c r="EZ201" s="351"/>
      <c r="FA201" s="18"/>
      <c r="FB201" s="472"/>
      <c r="FC201" s="18"/>
      <c r="FD201" s="18"/>
      <c r="FI201" s="351"/>
      <c r="FJ201" s="18"/>
      <c r="FK201" s="472"/>
      <c r="FL201" s="18"/>
      <c r="FM201" s="18"/>
      <c r="FR201" s="351"/>
      <c r="FS201" s="18"/>
      <c r="FT201" s="472"/>
      <c r="FU201" s="18"/>
      <c r="FV201" s="18"/>
      <c r="GA201" s="351"/>
      <c r="GB201" s="18"/>
      <c r="GC201" s="472"/>
      <c r="GD201" s="18"/>
      <c r="GE201" s="18"/>
      <c r="GJ201" s="351"/>
      <c r="GK201" s="18"/>
      <c r="GL201" s="472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4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3"/>
      <c r="JG201" s="18"/>
      <c r="JH201" s="18"/>
      <c r="JM201" s="475"/>
      <c r="JN201" s="476"/>
      <c r="JV201" s="475"/>
      <c r="JW201" s="476"/>
      <c r="JX201" s="477"/>
      <c r="JY201" s="476"/>
      <c r="JZ201" s="476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8"/>
      <c r="LI201" s="18"/>
      <c r="LJ201" s="18"/>
      <c r="LO201" s="475"/>
      <c r="LP201" s="476"/>
      <c r="LQ201" s="472"/>
      <c r="LR201" s="476"/>
      <c r="LS201" s="476"/>
      <c r="MG201" s="476"/>
      <c r="MH201" s="18"/>
      <c r="MI201" s="18"/>
      <c r="MJ201" s="479"/>
      <c r="ML201" s="18"/>
      <c r="MP201" s="351"/>
      <c r="MQ201" s="18"/>
      <c r="MR201" s="18"/>
      <c r="MS201" s="18"/>
      <c r="MT201" s="18"/>
      <c r="MY201" s="60"/>
      <c r="MZ201" s="3"/>
      <c r="NA201" s="480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1904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2393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4657</v>
      </c>
      <c r="BS202" t="s">
        <v>1441</v>
      </c>
      <c r="BT202" s="50"/>
      <c r="BX202" s="351"/>
      <c r="BY202" s="18"/>
      <c r="BZ202" s="472"/>
      <c r="CA202" s="18"/>
      <c r="CF202" s="351"/>
      <c r="CG202" s="18"/>
      <c r="CH202" s="472"/>
      <c r="CI202" s="18"/>
      <c r="CJ202" s="18"/>
      <c r="CO202" s="351"/>
      <c r="CP202" s="18"/>
      <c r="CQ202" s="472"/>
      <c r="CR202" s="18"/>
      <c r="CS202" s="18"/>
      <c r="CX202" s="351"/>
      <c r="CY202" s="18"/>
      <c r="CZ202" s="472"/>
      <c r="DA202" s="18"/>
      <c r="DB202" s="18"/>
      <c r="DG202" s="351"/>
      <c r="DH202" s="18"/>
      <c r="DI202" s="472"/>
      <c r="DJ202" s="18"/>
      <c r="DK202" s="18"/>
      <c r="DP202" s="381"/>
      <c r="DQ202" s="1"/>
      <c r="DR202" s="473"/>
      <c r="DS202" s="1"/>
      <c r="DT202" s="1"/>
      <c r="DY202" s="351"/>
      <c r="DZ202" s="18"/>
      <c r="EA202" s="472"/>
      <c r="EB202" s="18"/>
      <c r="EC202" s="18"/>
      <c r="EH202" s="351"/>
      <c r="EI202" s="18"/>
      <c r="EJ202" s="472"/>
      <c r="EK202" s="18"/>
      <c r="EL202" s="18"/>
      <c r="EQ202" s="351"/>
      <c r="ER202" s="18"/>
      <c r="ES202" s="472"/>
      <c r="ET202" s="18"/>
      <c r="EU202" s="18"/>
      <c r="EZ202" s="351"/>
      <c r="FA202" s="18"/>
      <c r="FB202" s="472"/>
      <c r="FC202" s="18"/>
      <c r="FD202" s="18"/>
      <c r="FI202" s="351"/>
      <c r="FJ202" s="18"/>
      <c r="FK202" s="472"/>
      <c r="FL202" s="18"/>
      <c r="FM202" s="18"/>
      <c r="FR202" s="351"/>
      <c r="FS202" s="18"/>
      <c r="FT202" s="472"/>
      <c r="FU202" s="18"/>
      <c r="FV202" s="18"/>
      <c r="GA202" s="351"/>
      <c r="GB202" s="18"/>
      <c r="GC202" s="472"/>
      <c r="GD202" s="18"/>
      <c r="GE202" s="18"/>
      <c r="GJ202" s="351"/>
      <c r="GK202" s="18"/>
      <c r="GL202" s="472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4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3"/>
      <c r="JG202" s="18"/>
      <c r="JH202" s="18"/>
      <c r="JM202" s="475"/>
      <c r="JN202" s="476"/>
      <c r="JV202" s="475"/>
      <c r="JW202" s="476"/>
      <c r="JX202" s="477"/>
      <c r="JY202" s="476"/>
      <c r="JZ202" s="476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8"/>
      <c r="LI202" s="18"/>
      <c r="LJ202" s="18"/>
      <c r="LO202" s="475"/>
      <c r="LP202" s="476"/>
      <c r="LQ202" s="472"/>
      <c r="LR202" s="476"/>
      <c r="LS202" s="476"/>
      <c r="MG202" s="476"/>
      <c r="MH202" s="18"/>
      <c r="MI202" s="18"/>
      <c r="MJ202" s="479"/>
      <c r="ML202" s="18"/>
      <c r="MP202" s="351"/>
      <c r="MQ202" s="18"/>
      <c r="MR202" s="18"/>
      <c r="MS202" s="18"/>
      <c r="MT202" s="18"/>
      <c r="MZ202" s="3"/>
      <c r="NA202" s="480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8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2377</v>
      </c>
      <c r="BI203" s="18"/>
      <c r="BK203" s="50"/>
      <c r="BN203" s="49" t="s">
        <v>4625</v>
      </c>
      <c r="BO203" s="103"/>
      <c r="BP203" s="63"/>
      <c r="BQ203" s="89"/>
      <c r="BR203" s="59"/>
      <c r="BS203" s="59"/>
      <c r="BT203" s="50"/>
      <c r="BX203" s="351"/>
      <c r="BY203" s="18"/>
      <c r="BZ203" s="472"/>
      <c r="CA203" s="18"/>
      <c r="CF203" s="351"/>
      <c r="CG203" s="18"/>
      <c r="CH203" s="472"/>
      <c r="CI203" s="18"/>
      <c r="CJ203" s="18"/>
      <c r="CO203" s="351"/>
      <c r="CP203" s="18"/>
      <c r="CQ203" s="472"/>
      <c r="CR203" s="18"/>
      <c r="CS203" s="18"/>
      <c r="CX203" s="351"/>
      <c r="CY203" s="18"/>
      <c r="CZ203" s="472"/>
      <c r="DA203" s="18"/>
      <c r="DB203" s="18"/>
      <c r="DG203" s="351"/>
      <c r="DH203" s="18"/>
      <c r="DI203" s="472"/>
      <c r="DJ203" s="18"/>
      <c r="DK203" s="18"/>
      <c r="DP203" s="381"/>
      <c r="DQ203" s="1"/>
      <c r="DR203" s="473"/>
      <c r="DS203" s="1"/>
      <c r="DT203" s="1"/>
      <c r="DY203" s="351"/>
      <c r="DZ203" s="18"/>
      <c r="EA203" s="472"/>
      <c r="EB203" s="18"/>
      <c r="EC203" s="18"/>
      <c r="EH203" s="351"/>
      <c r="EI203" s="18"/>
      <c r="EJ203" s="472"/>
      <c r="EK203" s="18"/>
      <c r="EL203" s="18"/>
      <c r="EQ203" s="351"/>
      <c r="ER203" s="18"/>
      <c r="ES203" s="472"/>
      <c r="ET203" s="18"/>
      <c r="EU203" s="18"/>
      <c r="EZ203" s="351"/>
      <c r="FA203" s="18"/>
      <c r="FB203" s="472"/>
      <c r="FC203" s="18"/>
      <c r="FD203" s="18"/>
      <c r="FI203" s="351"/>
      <c r="FJ203" s="18"/>
      <c r="FK203" s="472"/>
      <c r="FL203" s="18"/>
      <c r="FM203" s="18"/>
      <c r="FR203" s="351"/>
      <c r="FS203" s="18"/>
      <c r="FT203" s="472"/>
      <c r="FU203" s="18"/>
      <c r="FV203" s="18"/>
      <c r="GA203" s="351"/>
      <c r="GB203" s="18"/>
      <c r="GC203" s="472"/>
      <c r="GD203" s="18"/>
      <c r="GE203" s="18"/>
      <c r="GJ203" s="351"/>
      <c r="GK203" s="18"/>
      <c r="GL203" s="472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4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3"/>
      <c r="JG203" s="18"/>
      <c r="JH203" s="18"/>
      <c r="JM203" s="475"/>
      <c r="JN203" s="476"/>
      <c r="JV203" s="475"/>
      <c r="JW203" s="476"/>
      <c r="JX203" s="477"/>
      <c r="JY203" s="476"/>
      <c r="JZ203" s="476"/>
      <c r="KE203" s="351"/>
      <c r="KF203" s="18"/>
      <c r="KH203" s="18"/>
      <c r="KI203" s="18"/>
      <c r="KN203" s="351"/>
      <c r="KO203" s="18"/>
      <c r="KW203" s="351"/>
      <c r="KX203" s="18"/>
      <c r="LF203" s="482"/>
      <c r="LG203" s="18"/>
      <c r="LH203" s="477"/>
      <c r="LI203" s="18"/>
      <c r="LJ203" s="18"/>
      <c r="LO203" s="475"/>
      <c r="LP203" s="476"/>
      <c r="LQ203" s="472"/>
      <c r="LR203" s="476"/>
      <c r="LS203" s="476"/>
      <c r="MG203" s="476"/>
      <c r="MH203" s="18"/>
      <c r="MI203" s="18"/>
      <c r="MJ203" s="479"/>
      <c r="ML203" s="18"/>
      <c r="MP203" s="351"/>
      <c r="MQ203" s="18"/>
      <c r="MR203" s="18"/>
      <c r="MS203" s="18"/>
      <c r="MT203" s="18"/>
      <c r="MY203" s="484"/>
      <c r="MZ203" s="63"/>
      <c r="NA203" s="486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8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1905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2394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4658</v>
      </c>
      <c r="BS204" t="s">
        <v>1442</v>
      </c>
      <c r="BT204" s="50"/>
      <c r="BX204" s="18"/>
      <c r="BY204" s="18"/>
      <c r="BZ204" s="472"/>
      <c r="CA204" s="18"/>
      <c r="CF204" s="18"/>
      <c r="CG204" s="18"/>
      <c r="CH204" s="472"/>
      <c r="CI204" s="18"/>
      <c r="CJ204" s="18"/>
      <c r="CO204" s="18"/>
      <c r="CP204" s="18"/>
      <c r="CQ204" s="472"/>
      <c r="CR204" s="18"/>
      <c r="CS204" s="18"/>
      <c r="CX204" s="18"/>
      <c r="CY204" s="18"/>
      <c r="CZ204" s="472"/>
      <c r="DA204" s="18"/>
      <c r="DB204" s="18"/>
      <c r="DG204" s="18"/>
      <c r="DH204" s="18"/>
      <c r="DI204" s="472"/>
      <c r="DJ204" s="18"/>
      <c r="DK204" s="18"/>
      <c r="DP204" s="1"/>
      <c r="DQ204" s="1"/>
      <c r="DR204" s="473"/>
      <c r="DS204" s="1"/>
      <c r="DT204" s="1"/>
      <c r="DY204" s="18"/>
      <c r="DZ204" s="18"/>
      <c r="EA204" s="472"/>
      <c r="EB204" s="18"/>
      <c r="EC204" s="18"/>
      <c r="EH204" s="18"/>
      <c r="EI204" s="18"/>
      <c r="EJ204" s="472"/>
      <c r="EK204" s="18"/>
      <c r="EL204" s="18"/>
      <c r="EQ204" s="18"/>
      <c r="ER204" s="18"/>
      <c r="ES204" s="472"/>
      <c r="ET204" s="18"/>
      <c r="EU204" s="18"/>
      <c r="EZ204" s="18"/>
      <c r="FA204" s="18"/>
      <c r="FB204" s="472"/>
      <c r="FC204" s="18"/>
      <c r="FD204" s="18"/>
      <c r="FI204" s="18"/>
      <c r="FJ204" s="18"/>
      <c r="FK204" s="472"/>
      <c r="FL204" s="18"/>
      <c r="FM204" s="18"/>
      <c r="FR204" s="18"/>
      <c r="FS204" s="18"/>
      <c r="FT204" s="472"/>
      <c r="FU204" s="18"/>
      <c r="FV204" s="18"/>
      <c r="GA204" s="18"/>
      <c r="GB204" s="18"/>
      <c r="GC204" s="472"/>
      <c r="GD204" s="18"/>
      <c r="GE204" s="18"/>
      <c r="GJ204" s="18"/>
      <c r="GK204" s="18"/>
      <c r="GL204" s="472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4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9"/>
      <c r="JE204" s="18"/>
      <c r="JF204" s="472"/>
      <c r="JG204" s="18"/>
      <c r="JH204" s="18"/>
      <c r="JM204" s="476"/>
      <c r="JN204" s="476"/>
      <c r="JV204" s="476"/>
      <c r="JW204" s="476"/>
      <c r="JX204" s="477"/>
      <c r="JY204" s="476"/>
      <c r="JZ204" s="476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8"/>
      <c r="LI204" s="18"/>
      <c r="LJ204" s="18"/>
      <c r="LO204" s="476"/>
      <c r="LP204" s="476"/>
      <c r="LQ204" s="472"/>
      <c r="LR204" s="476"/>
      <c r="LS204" s="476"/>
      <c r="MG204" s="476"/>
      <c r="MH204" s="18"/>
      <c r="MI204" s="18"/>
      <c r="MJ204" s="479"/>
      <c r="ML204" s="18"/>
      <c r="MP204" s="18"/>
      <c r="MQ204" s="18"/>
      <c r="MR204" s="18"/>
      <c r="MS204" s="18"/>
      <c r="MT204" s="18"/>
      <c r="MY204" s="60"/>
      <c r="MZ204" s="3"/>
      <c r="NA204" s="480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2358</v>
      </c>
      <c r="BI205" s="18"/>
      <c r="BK205" s="50"/>
      <c r="BN205" s="49" t="s">
        <v>4625</v>
      </c>
      <c r="BO205" s="63"/>
      <c r="BP205" s="63"/>
      <c r="BQ205" s="89"/>
      <c r="BR205" s="59"/>
      <c r="BS205" s="59"/>
      <c r="BT205" s="50"/>
      <c r="BX205" s="18"/>
      <c r="BY205" s="18"/>
      <c r="BZ205" s="472"/>
      <c r="CA205" s="18"/>
      <c r="CF205" s="18"/>
      <c r="CG205" s="18"/>
      <c r="CH205" s="472"/>
      <c r="CI205" s="18"/>
      <c r="CJ205" s="18"/>
      <c r="CO205" s="18"/>
      <c r="CP205" s="18"/>
      <c r="CQ205" s="472"/>
      <c r="CR205" s="18"/>
      <c r="CS205" s="18"/>
      <c r="CX205" s="18"/>
      <c r="CY205" s="18"/>
      <c r="CZ205" s="472"/>
      <c r="DA205" s="18"/>
      <c r="DB205" s="18"/>
      <c r="DG205" s="18"/>
      <c r="DH205" s="18"/>
      <c r="DI205" s="472"/>
      <c r="DJ205" s="18"/>
      <c r="DK205" s="18"/>
      <c r="DP205" s="1"/>
      <c r="DQ205" s="1"/>
      <c r="DR205" s="473"/>
      <c r="DS205" s="1"/>
      <c r="DT205" s="1"/>
      <c r="DY205" s="18"/>
      <c r="DZ205" s="18"/>
      <c r="EA205" s="472"/>
      <c r="EB205" s="18"/>
      <c r="EC205" s="18"/>
      <c r="EH205" s="18"/>
      <c r="EI205" s="18"/>
      <c r="EJ205" s="472"/>
      <c r="EK205" s="18"/>
      <c r="EL205" s="18"/>
      <c r="EQ205" s="18"/>
      <c r="ER205" s="18"/>
      <c r="ES205" s="472"/>
      <c r="ET205" s="18"/>
      <c r="EU205" s="18"/>
      <c r="EZ205" s="18"/>
      <c r="FA205" s="18"/>
      <c r="FB205" s="472"/>
      <c r="FC205" s="18"/>
      <c r="FD205" s="18"/>
      <c r="FI205" s="18"/>
      <c r="FJ205" s="18"/>
      <c r="FK205" s="472"/>
      <c r="FL205" s="18"/>
      <c r="FM205" s="18"/>
      <c r="FR205" s="18"/>
      <c r="FS205" s="18"/>
      <c r="FT205" s="472"/>
      <c r="FU205" s="18"/>
      <c r="FV205" s="18"/>
      <c r="GA205" s="18"/>
      <c r="GB205" s="18"/>
      <c r="GC205" s="472"/>
      <c r="GD205" s="18"/>
      <c r="GE205" s="18"/>
      <c r="GJ205" s="18"/>
      <c r="GK205" s="18"/>
      <c r="GL205" s="472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4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3"/>
      <c r="JG205" s="18"/>
      <c r="JH205" s="18"/>
      <c r="JM205" s="476"/>
      <c r="JN205" s="476"/>
      <c r="JV205" s="476"/>
      <c r="JW205" s="476"/>
      <c r="JX205" s="477"/>
      <c r="JY205" s="476"/>
      <c r="JZ205" s="476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7"/>
      <c r="LI205" s="18"/>
      <c r="LJ205" s="18"/>
      <c r="LO205" s="476"/>
      <c r="LP205" s="476"/>
      <c r="LQ205" s="472"/>
      <c r="LR205" s="476"/>
      <c r="LS205" s="476"/>
      <c r="MG205" s="476"/>
      <c r="MH205" s="18"/>
      <c r="MI205" s="18"/>
      <c r="MJ205" s="479"/>
      <c r="ML205" s="18"/>
      <c r="MP205" s="18"/>
      <c r="MQ205" s="18"/>
      <c r="MR205" s="18"/>
      <c r="MS205" s="18"/>
      <c r="MT205" s="18"/>
      <c r="MZ205" s="3"/>
      <c r="NA205" s="487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8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1906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2395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4659</v>
      </c>
      <c r="BS206" t="s">
        <v>1443</v>
      </c>
      <c r="BT206" s="50"/>
      <c r="BX206" s="18"/>
      <c r="BY206" s="18"/>
      <c r="BZ206" s="472"/>
      <c r="CA206" s="18"/>
      <c r="CF206" s="18"/>
      <c r="CG206" s="18"/>
      <c r="CH206" s="472"/>
      <c r="CI206" s="18"/>
      <c r="CJ206" s="18"/>
      <c r="CO206" s="18"/>
      <c r="CP206" s="18"/>
      <c r="CQ206" s="472"/>
      <c r="CR206" s="18"/>
      <c r="CS206" s="18"/>
      <c r="CX206" s="18"/>
      <c r="CY206" s="18"/>
      <c r="CZ206" s="472"/>
      <c r="DA206" s="18"/>
      <c r="DB206" s="18"/>
      <c r="DG206" s="18"/>
      <c r="DH206" s="18"/>
      <c r="DI206" s="472"/>
      <c r="DJ206" s="18"/>
      <c r="DK206" s="18"/>
      <c r="DP206" s="1"/>
      <c r="DQ206" s="1"/>
      <c r="DR206" s="473"/>
      <c r="DS206" s="1"/>
      <c r="DT206" s="1"/>
      <c r="DY206" s="18"/>
      <c r="DZ206" s="18"/>
      <c r="EA206" s="472"/>
      <c r="EB206" s="18"/>
      <c r="EC206" s="18"/>
      <c r="EH206" s="18"/>
      <c r="EI206" s="18"/>
      <c r="EJ206" s="472"/>
      <c r="EK206" s="18"/>
      <c r="EL206" s="18"/>
      <c r="EQ206" s="18"/>
      <c r="ER206" s="18"/>
      <c r="ES206" s="472"/>
      <c r="ET206" s="18"/>
      <c r="EU206" s="18"/>
      <c r="EZ206" s="18"/>
      <c r="FA206" s="18"/>
      <c r="FB206" s="472"/>
      <c r="FC206" s="18"/>
      <c r="FD206" s="18"/>
      <c r="FI206" s="18"/>
      <c r="FJ206" s="18"/>
      <c r="FK206" s="472"/>
      <c r="FL206" s="18"/>
      <c r="FM206" s="18"/>
      <c r="FR206" s="18"/>
      <c r="FS206" s="18"/>
      <c r="FT206" s="472"/>
      <c r="FU206" s="18"/>
      <c r="FV206" s="18"/>
      <c r="GA206" s="18"/>
      <c r="GB206" s="18"/>
      <c r="GC206" s="472"/>
      <c r="GD206" s="18"/>
      <c r="GE206" s="18"/>
      <c r="GJ206" s="18"/>
      <c r="GK206" s="18"/>
      <c r="GL206" s="472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4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2"/>
      <c r="JG206" s="18"/>
      <c r="JH206" s="18"/>
      <c r="JM206" s="476"/>
      <c r="JN206" s="476"/>
      <c r="JV206" s="476"/>
      <c r="JW206" s="476"/>
      <c r="JX206" s="477"/>
      <c r="JY206" s="476"/>
      <c r="JZ206" s="476"/>
      <c r="KE206" s="18"/>
      <c r="KF206" s="18"/>
      <c r="KH206" s="18"/>
      <c r="KI206" s="18"/>
      <c r="KN206" s="18"/>
      <c r="KO206" s="18"/>
      <c r="KW206" s="18"/>
      <c r="KX206" s="18"/>
      <c r="LF206" s="482"/>
      <c r="LG206" s="18"/>
      <c r="LH206" s="477"/>
      <c r="LI206" s="18"/>
      <c r="LJ206" s="18"/>
      <c r="LO206" s="476"/>
      <c r="LP206" s="476"/>
      <c r="LQ206" s="472"/>
      <c r="LR206" s="476"/>
      <c r="LS206" s="476"/>
      <c r="MG206" s="476"/>
      <c r="MH206" s="18"/>
      <c r="MI206" s="18"/>
      <c r="MJ206" s="479"/>
      <c r="ML206" s="18"/>
      <c r="MP206" s="18"/>
      <c r="MQ206" s="18"/>
      <c r="MR206" s="18"/>
      <c r="MS206" s="18"/>
      <c r="MT206" s="18"/>
      <c r="MY206" s="484"/>
      <c r="MZ206" s="3"/>
      <c r="NA206" s="487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2377</v>
      </c>
      <c r="BI207" s="18"/>
      <c r="BK207" s="50"/>
      <c r="BN207" s="49" t="s">
        <v>4625</v>
      </c>
      <c r="BQ207" s="89"/>
      <c r="BT207" s="50"/>
      <c r="BX207" s="351"/>
      <c r="BY207" s="18"/>
      <c r="BZ207" s="472"/>
      <c r="CA207" s="18"/>
      <c r="CF207" s="351"/>
      <c r="CG207" s="18"/>
      <c r="CH207" s="472"/>
      <c r="CI207" s="18"/>
      <c r="CJ207" s="18"/>
      <c r="CO207" s="351"/>
      <c r="CP207" s="18"/>
      <c r="CQ207" s="472"/>
      <c r="CR207" s="18"/>
      <c r="CS207" s="18"/>
      <c r="CX207" s="351"/>
      <c r="CY207" s="18"/>
      <c r="CZ207" s="472"/>
      <c r="DA207" s="18"/>
      <c r="DB207" s="18"/>
      <c r="DG207" s="351"/>
      <c r="DH207" s="18"/>
      <c r="DI207" s="472"/>
      <c r="DJ207" s="18"/>
      <c r="DK207" s="18"/>
      <c r="DP207" s="381"/>
      <c r="DQ207" s="1"/>
      <c r="DR207" s="473"/>
      <c r="DS207" s="1"/>
      <c r="DT207" s="1"/>
      <c r="DY207" s="351"/>
      <c r="DZ207" s="18"/>
      <c r="EA207" s="472"/>
      <c r="EB207" s="18"/>
      <c r="EC207" s="18"/>
      <c r="EH207" s="351"/>
      <c r="EI207" s="18"/>
      <c r="EJ207" s="472"/>
      <c r="EK207" s="18"/>
      <c r="EL207" s="18"/>
      <c r="EQ207" s="351"/>
      <c r="ER207" s="18"/>
      <c r="ES207" s="472"/>
      <c r="ET207" s="18"/>
      <c r="EU207" s="18"/>
      <c r="EZ207" s="351"/>
      <c r="FA207" s="18"/>
      <c r="FB207" s="472"/>
      <c r="FC207" s="18"/>
      <c r="FD207" s="18"/>
      <c r="FI207" s="351"/>
      <c r="FJ207" s="18"/>
      <c r="FK207" s="472"/>
      <c r="FL207" s="18"/>
      <c r="FM207" s="18"/>
      <c r="FR207" s="351"/>
      <c r="FS207" s="18"/>
      <c r="FT207" s="472"/>
      <c r="FU207" s="18"/>
      <c r="FV207" s="18"/>
      <c r="GA207" s="351"/>
      <c r="GB207" s="18"/>
      <c r="GC207" s="472"/>
      <c r="GD207" s="18"/>
      <c r="GE207" s="18"/>
      <c r="GJ207" s="351"/>
      <c r="GK207" s="18"/>
      <c r="GL207" s="472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4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9"/>
      <c r="JE207" s="18"/>
      <c r="JF207" s="472"/>
      <c r="JG207" s="18"/>
      <c r="JH207" s="18"/>
      <c r="JM207" s="475"/>
      <c r="JN207" s="476"/>
      <c r="JV207" s="475"/>
      <c r="JW207" s="476"/>
      <c r="JX207" s="477"/>
      <c r="JY207" s="476"/>
      <c r="JZ207" s="476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8"/>
      <c r="LI207" s="18"/>
      <c r="LJ207" s="18"/>
      <c r="LO207" s="475"/>
      <c r="LP207" s="476"/>
      <c r="LQ207" s="472"/>
      <c r="LR207" s="476"/>
      <c r="LS207" s="476"/>
      <c r="MG207" s="476"/>
      <c r="MH207" s="18"/>
      <c r="MI207" s="18"/>
      <c r="MJ207" s="479"/>
      <c r="ML207" s="18"/>
      <c r="MP207" s="351"/>
      <c r="MQ207" s="18"/>
      <c r="MR207" s="18"/>
      <c r="MS207" s="18"/>
      <c r="MT207" s="18"/>
      <c r="MY207" s="3"/>
      <c r="MZ207" s="63"/>
      <c r="NA207" s="480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8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1907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2396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4660</v>
      </c>
      <c r="BS208" s="3" t="s">
        <v>1461</v>
      </c>
      <c r="BT208" s="50"/>
      <c r="BX208" s="351"/>
      <c r="BY208" s="18"/>
      <c r="BZ208" s="472"/>
      <c r="CA208" s="18"/>
      <c r="CF208" s="351"/>
      <c r="CG208" s="18"/>
      <c r="CH208" s="472"/>
      <c r="CI208" s="18"/>
      <c r="CJ208" s="18"/>
      <c r="CO208" s="351"/>
      <c r="CP208" s="18"/>
      <c r="CQ208" s="472"/>
      <c r="CR208" s="18"/>
      <c r="CS208" s="18"/>
      <c r="CX208" s="351"/>
      <c r="CY208" s="18"/>
      <c r="CZ208" s="472"/>
      <c r="DA208" s="18"/>
      <c r="DB208" s="18"/>
      <c r="DG208" s="351"/>
      <c r="DH208" s="18"/>
      <c r="DI208" s="472"/>
      <c r="DJ208" s="18"/>
      <c r="DK208" s="18"/>
      <c r="DP208" s="381"/>
      <c r="DQ208" s="1"/>
      <c r="DR208" s="473"/>
      <c r="DS208" s="1"/>
      <c r="DT208" s="1"/>
      <c r="DY208" s="351"/>
      <c r="DZ208" s="18"/>
      <c r="EA208" s="472"/>
      <c r="EB208" s="18"/>
      <c r="EC208" s="18"/>
      <c r="EH208" s="351"/>
      <c r="EI208" s="18"/>
      <c r="EJ208" s="472"/>
      <c r="EK208" s="18"/>
      <c r="EL208" s="18"/>
      <c r="EQ208" s="351"/>
      <c r="ER208" s="18"/>
      <c r="ES208" s="472"/>
      <c r="ET208" s="18"/>
      <c r="EU208" s="18"/>
      <c r="EZ208" s="351"/>
      <c r="FA208" s="18"/>
      <c r="FB208" s="472"/>
      <c r="FC208" s="18"/>
      <c r="FD208" s="18"/>
      <c r="FI208" s="351"/>
      <c r="FJ208" s="18"/>
      <c r="FK208" s="472"/>
      <c r="FL208" s="18"/>
      <c r="FM208" s="18"/>
      <c r="FR208" s="351"/>
      <c r="FS208" s="18"/>
      <c r="FT208" s="472"/>
      <c r="FU208" s="18"/>
      <c r="FV208" s="18"/>
      <c r="GA208" s="351"/>
      <c r="GB208" s="18"/>
      <c r="GC208" s="472"/>
      <c r="GD208" s="18"/>
      <c r="GE208" s="18"/>
      <c r="GJ208" s="351"/>
      <c r="GK208" s="18"/>
      <c r="GL208" s="472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4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3"/>
      <c r="JG208" s="18"/>
      <c r="JH208" s="18"/>
      <c r="JM208" s="475"/>
      <c r="JN208" s="476"/>
      <c r="JV208" s="475"/>
      <c r="JW208" s="476"/>
      <c r="JX208" s="477"/>
      <c r="JY208" s="476"/>
      <c r="JZ208" s="476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8"/>
      <c r="LI208" s="18"/>
      <c r="LJ208" s="18"/>
      <c r="LO208" s="475"/>
      <c r="LP208" s="476"/>
      <c r="LQ208" s="472"/>
      <c r="LR208" s="476"/>
      <c r="LS208" s="476"/>
      <c r="MG208" s="476"/>
      <c r="MH208" s="18"/>
      <c r="MI208" s="18"/>
      <c r="MJ208" s="479"/>
      <c r="ML208" s="18"/>
      <c r="MP208" s="351"/>
      <c r="MQ208" s="18"/>
      <c r="MR208" s="18"/>
      <c r="MS208" s="18"/>
      <c r="MT208" s="18"/>
      <c r="MY208" s="3"/>
      <c r="MZ208" s="3"/>
      <c r="NA208" s="480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2377</v>
      </c>
      <c r="BI209" s="18"/>
      <c r="BK209" s="50"/>
      <c r="BN209" s="49" t="s">
        <v>4625</v>
      </c>
      <c r="BQ209" s="89"/>
      <c r="BT209" s="50"/>
      <c r="BX209" s="18"/>
      <c r="BY209" s="18"/>
      <c r="BZ209" s="472"/>
      <c r="CA209" s="18"/>
      <c r="CF209" s="18"/>
      <c r="CG209" s="18"/>
      <c r="CH209" s="472"/>
      <c r="CI209" s="18"/>
      <c r="CJ209" s="18"/>
      <c r="CO209" s="18"/>
      <c r="CP209" s="18"/>
      <c r="CQ209" s="472"/>
      <c r="CR209" s="18"/>
      <c r="CS209" s="18"/>
      <c r="CX209" s="18"/>
      <c r="CY209" s="18"/>
      <c r="CZ209" s="472"/>
      <c r="DA209" s="18"/>
      <c r="DB209" s="18"/>
      <c r="DG209" s="18"/>
      <c r="DH209" s="18"/>
      <c r="DI209" s="472"/>
      <c r="DJ209" s="18"/>
      <c r="DK209" s="18"/>
      <c r="DP209" s="1"/>
      <c r="DQ209" s="1"/>
      <c r="DR209" s="473"/>
      <c r="DS209" s="1"/>
      <c r="DT209" s="1"/>
      <c r="DY209" s="18"/>
      <c r="DZ209" s="18"/>
      <c r="EA209" s="472"/>
      <c r="EB209" s="18"/>
      <c r="EC209" s="18"/>
      <c r="EH209" s="18"/>
      <c r="EI209" s="18"/>
      <c r="EJ209" s="472"/>
      <c r="EK209" s="18"/>
      <c r="EL209" s="18"/>
      <c r="EQ209" s="18"/>
      <c r="ER209" s="18"/>
      <c r="ES209" s="472"/>
      <c r="ET209" s="18"/>
      <c r="EU209" s="18"/>
      <c r="EZ209" s="18"/>
      <c r="FA209" s="18"/>
      <c r="FB209" s="472"/>
      <c r="FC209" s="18"/>
      <c r="FD209" s="18"/>
      <c r="FI209" s="18"/>
      <c r="FJ209" s="18"/>
      <c r="FK209" s="472"/>
      <c r="FL209" s="18"/>
      <c r="FM209" s="18"/>
      <c r="FR209" s="18"/>
      <c r="FS209" s="18"/>
      <c r="FT209" s="472"/>
      <c r="FU209" s="18"/>
      <c r="FV209" s="18"/>
      <c r="GA209" s="18"/>
      <c r="GB209" s="18"/>
      <c r="GC209" s="472"/>
      <c r="GD209" s="18"/>
      <c r="GE209" s="18"/>
      <c r="GJ209" s="18"/>
      <c r="GK209" s="18"/>
      <c r="GL209" s="472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4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3"/>
      <c r="JG209" s="18"/>
      <c r="JH209" s="18"/>
      <c r="JM209" s="476"/>
      <c r="JN209" s="476"/>
      <c r="JV209" s="476"/>
      <c r="JW209" s="476"/>
      <c r="JX209" s="477"/>
      <c r="JY209" s="476"/>
      <c r="JZ209" s="476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7"/>
      <c r="LI209" s="18"/>
      <c r="LJ209" s="18"/>
      <c r="LO209" s="476"/>
      <c r="LP209" s="476"/>
      <c r="LQ209" s="472"/>
      <c r="LR209" s="476"/>
      <c r="LS209" s="476"/>
      <c r="MG209" s="476"/>
      <c r="MH209" s="18"/>
      <c r="MI209" s="18"/>
      <c r="MJ209" s="479"/>
      <c r="ML209" s="18"/>
      <c r="MP209" s="18"/>
      <c r="MQ209" s="18"/>
      <c r="MR209" s="18"/>
      <c r="MS209" s="18"/>
      <c r="MT209" s="18"/>
      <c r="MY209" s="60"/>
      <c r="MZ209" s="3"/>
      <c r="NA209" s="487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8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1908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2397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4661</v>
      </c>
      <c r="BS210" s="3" t="s">
        <v>1462</v>
      </c>
      <c r="BT210" s="50"/>
      <c r="BX210" s="479"/>
      <c r="BY210" s="18"/>
      <c r="BZ210" s="472"/>
      <c r="CA210" s="18"/>
      <c r="CF210" s="479"/>
      <c r="CG210" s="18"/>
      <c r="CH210" s="472"/>
      <c r="CI210" s="18"/>
      <c r="CJ210" s="18"/>
      <c r="CO210" s="479"/>
      <c r="CP210" s="18"/>
      <c r="CQ210" s="472"/>
      <c r="CR210" s="18"/>
      <c r="CS210" s="18"/>
      <c r="CX210" s="479"/>
      <c r="CY210" s="18"/>
      <c r="CZ210" s="472"/>
      <c r="DA210" s="18"/>
      <c r="DB210" s="18"/>
      <c r="DG210" s="479"/>
      <c r="DH210" s="18"/>
      <c r="DI210" s="472"/>
      <c r="DJ210" s="18"/>
      <c r="DK210" s="18"/>
      <c r="DP210" s="481"/>
      <c r="DQ210" s="1"/>
      <c r="DR210" s="473"/>
      <c r="DS210" s="1"/>
      <c r="DT210" s="1"/>
      <c r="DY210" s="479"/>
      <c r="DZ210" s="18"/>
      <c r="EA210" s="472"/>
      <c r="EB210" s="18"/>
      <c r="EC210" s="18"/>
      <c r="EH210" s="479"/>
      <c r="EI210" s="18"/>
      <c r="EJ210" s="472"/>
      <c r="EK210" s="18"/>
      <c r="EL210" s="18"/>
      <c r="EQ210" s="479"/>
      <c r="ER210" s="18"/>
      <c r="ES210" s="472"/>
      <c r="ET210" s="18"/>
      <c r="EU210" s="18"/>
      <c r="EZ210" s="479"/>
      <c r="FA210" s="18"/>
      <c r="FB210" s="472"/>
      <c r="FC210" s="18"/>
      <c r="FD210" s="18"/>
      <c r="FI210" s="479"/>
      <c r="FJ210" s="18"/>
      <c r="FK210" s="472"/>
      <c r="FL210" s="18"/>
      <c r="FM210" s="18"/>
      <c r="FR210" s="482"/>
      <c r="FS210" s="18"/>
      <c r="FT210" s="472"/>
      <c r="FU210" s="18"/>
      <c r="FV210" s="18"/>
      <c r="GA210" s="479"/>
      <c r="GB210" s="18"/>
      <c r="GC210" s="472"/>
      <c r="GD210" s="18"/>
      <c r="GE210" s="18"/>
      <c r="GJ210" s="479"/>
      <c r="GK210" s="18"/>
      <c r="GL210" s="472"/>
      <c r="GM210" s="18"/>
      <c r="GN210" s="18"/>
      <c r="HB210" s="482"/>
      <c r="HC210" s="18"/>
      <c r="HE210" s="18"/>
      <c r="HK210" s="482"/>
      <c r="HL210" s="18"/>
      <c r="HT210" s="18"/>
      <c r="HU210" s="474"/>
      <c r="IL210" s="479"/>
      <c r="IM210" s="18"/>
      <c r="IU210" s="482"/>
      <c r="IV210" s="18"/>
      <c r="JD210" s="351"/>
      <c r="JE210" s="18"/>
      <c r="JF210" s="472"/>
      <c r="JG210" s="18"/>
      <c r="JH210" s="18"/>
      <c r="JM210" s="479"/>
      <c r="JN210" s="476"/>
      <c r="JV210" s="479"/>
      <c r="JW210" s="476"/>
      <c r="JX210" s="477"/>
      <c r="JY210" s="476"/>
      <c r="JZ210" s="476"/>
      <c r="KE210" s="482"/>
      <c r="KF210" s="18"/>
      <c r="KH210" s="18"/>
      <c r="KN210" s="482"/>
      <c r="KO210" s="18"/>
      <c r="KW210" s="482"/>
      <c r="KX210" s="18"/>
      <c r="LO210" s="479"/>
      <c r="LP210" s="476"/>
      <c r="LQ210" s="472"/>
      <c r="LR210" s="476"/>
      <c r="LS210" s="476"/>
      <c r="MG210" s="476"/>
      <c r="MH210" s="18"/>
      <c r="MI210" s="18"/>
      <c r="MJ210" s="479"/>
      <c r="ML210" s="18"/>
      <c r="MP210" s="482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2358</v>
      </c>
      <c r="BK211" s="50"/>
      <c r="BN211" s="49" t="s">
        <v>4625</v>
      </c>
      <c r="BQ211" s="89"/>
      <c r="BT211" s="50"/>
      <c r="BX211" s="351"/>
      <c r="BY211" s="18"/>
      <c r="BZ211" s="472"/>
      <c r="CA211" s="18"/>
      <c r="CF211" s="351"/>
      <c r="CG211" s="18"/>
      <c r="CH211" s="472"/>
      <c r="CI211" s="18"/>
      <c r="CJ211" s="18"/>
      <c r="CO211" s="351"/>
      <c r="CP211" s="18"/>
      <c r="CQ211" s="472"/>
      <c r="CR211" s="18"/>
      <c r="CS211" s="18"/>
      <c r="CX211" s="351"/>
      <c r="CY211" s="18"/>
      <c r="CZ211" s="472"/>
      <c r="DA211" s="18"/>
      <c r="DB211" s="18"/>
      <c r="DG211" s="351"/>
      <c r="DH211" s="18"/>
      <c r="DI211" s="472"/>
      <c r="DJ211" s="18"/>
      <c r="DK211" s="18"/>
      <c r="DP211" s="381"/>
      <c r="DQ211" s="1"/>
      <c r="DR211" s="473"/>
      <c r="DS211" s="1"/>
      <c r="DT211" s="1"/>
      <c r="DY211" s="351"/>
      <c r="DZ211" s="18"/>
      <c r="EA211" s="472"/>
      <c r="EB211" s="18"/>
      <c r="EC211" s="18"/>
      <c r="EH211" s="351"/>
      <c r="EI211" s="18"/>
      <c r="EJ211" s="472"/>
      <c r="EK211" s="18"/>
      <c r="EL211" s="18"/>
      <c r="EQ211" s="351"/>
      <c r="ER211" s="18"/>
      <c r="ES211" s="472"/>
      <c r="ET211" s="18"/>
      <c r="EU211" s="18"/>
      <c r="EZ211" s="351"/>
      <c r="FA211" s="18"/>
      <c r="FB211" s="472"/>
      <c r="FC211" s="18"/>
      <c r="FD211" s="18"/>
      <c r="FI211" s="351"/>
      <c r="FJ211" s="18"/>
      <c r="FK211" s="472"/>
      <c r="FL211" s="18"/>
      <c r="FM211" s="18"/>
      <c r="FR211" s="351"/>
      <c r="FS211" s="18"/>
      <c r="FT211" s="472"/>
      <c r="FU211" s="18"/>
      <c r="FV211" s="18"/>
      <c r="GA211" s="351"/>
      <c r="GB211" s="18"/>
      <c r="GC211" s="472"/>
      <c r="GD211" s="18"/>
      <c r="GE211" s="18"/>
      <c r="GJ211" s="351"/>
      <c r="GK211" s="18"/>
      <c r="GL211" s="472"/>
      <c r="GM211" s="18"/>
      <c r="GN211" s="18"/>
      <c r="HB211" s="351"/>
      <c r="HC211" s="18"/>
      <c r="HK211" s="351"/>
      <c r="HL211" s="18"/>
      <c r="HT211" s="18"/>
      <c r="HU211" s="474"/>
      <c r="IL211" s="351"/>
      <c r="IM211" s="18"/>
      <c r="IU211" s="351"/>
      <c r="IV211" s="18"/>
      <c r="JD211" s="107"/>
      <c r="JE211" s="107"/>
      <c r="JF211" s="107"/>
      <c r="JG211" s="233"/>
      <c r="JM211" s="475"/>
      <c r="JN211" s="476"/>
      <c r="JV211" s="475"/>
      <c r="JW211" s="476"/>
      <c r="JX211" s="477"/>
      <c r="JY211" s="476"/>
      <c r="JZ211" s="476"/>
      <c r="KE211" s="351"/>
      <c r="KF211" s="18"/>
      <c r="KH211" s="18"/>
      <c r="KN211" s="351"/>
      <c r="KO211" s="18"/>
      <c r="KW211" s="351"/>
      <c r="KX211" s="18"/>
      <c r="LO211" s="475"/>
      <c r="LP211" s="476"/>
      <c r="LQ211" s="472"/>
      <c r="LR211" s="476"/>
      <c r="LS211" s="476"/>
      <c r="MG211" s="476"/>
      <c r="MH211" s="18"/>
      <c r="MI211" s="18"/>
      <c r="MJ211" s="479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1909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2398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4663</v>
      </c>
      <c r="BS212" s="60" t="s">
        <v>1463</v>
      </c>
      <c r="BT212" s="50"/>
      <c r="BX212" s="351"/>
      <c r="BY212" s="18"/>
      <c r="BZ212" s="472"/>
      <c r="CA212" s="18"/>
      <c r="CF212" s="351"/>
      <c r="CG212" s="18"/>
      <c r="CH212" s="472"/>
      <c r="CI212" s="18"/>
      <c r="CJ212" s="18"/>
      <c r="CO212" s="351"/>
      <c r="CP212" s="18"/>
      <c r="CQ212" s="472"/>
      <c r="CR212" s="18"/>
      <c r="CS212" s="18"/>
      <c r="CX212" s="351"/>
      <c r="CY212" s="18"/>
      <c r="CZ212" s="472"/>
      <c r="DA212" s="18"/>
      <c r="DB212" s="18"/>
      <c r="DG212" s="351"/>
      <c r="DH212" s="18"/>
      <c r="DI212" s="472"/>
      <c r="DJ212" s="18"/>
      <c r="DK212" s="18"/>
      <c r="DP212" s="381"/>
      <c r="DQ212" s="1"/>
      <c r="DR212" s="473"/>
      <c r="DS212" s="1"/>
      <c r="DT212" s="1"/>
      <c r="DY212" s="351"/>
      <c r="DZ212" s="18"/>
      <c r="EA212" s="472"/>
      <c r="EB212" s="18"/>
      <c r="EC212" s="18"/>
      <c r="EH212" s="351"/>
      <c r="EI212" s="18"/>
      <c r="EJ212" s="472"/>
      <c r="EK212" s="18"/>
      <c r="EL212" s="18"/>
      <c r="EQ212" s="351"/>
      <c r="ER212" s="18"/>
      <c r="ES212" s="472"/>
      <c r="ET212" s="18"/>
      <c r="EU212" s="18"/>
      <c r="EZ212" s="351"/>
      <c r="FA212" s="18"/>
      <c r="FB212" s="472"/>
      <c r="FC212" s="18"/>
      <c r="FD212" s="18"/>
      <c r="FI212" s="351"/>
      <c r="FJ212" s="18"/>
      <c r="FK212" s="472"/>
      <c r="FL212" s="18"/>
      <c r="FM212" s="18"/>
      <c r="FR212" s="351"/>
      <c r="FS212" s="18"/>
      <c r="FT212" s="472"/>
      <c r="FU212" s="18"/>
      <c r="FV212" s="18"/>
      <c r="GA212" s="351"/>
      <c r="GB212" s="18"/>
      <c r="GC212" s="472"/>
      <c r="GD212" s="18"/>
      <c r="GE212" s="18"/>
      <c r="GJ212" s="351"/>
      <c r="GK212" s="18"/>
      <c r="GL212" s="472"/>
      <c r="GM212" s="18"/>
      <c r="GN212" s="18"/>
      <c r="HB212" s="351"/>
      <c r="HC212" s="18"/>
      <c r="HK212" s="351"/>
      <c r="HL212" s="18"/>
      <c r="HT212" s="18"/>
      <c r="HU212" s="474"/>
      <c r="IL212" s="351"/>
      <c r="IM212" s="18"/>
      <c r="IU212" s="351"/>
      <c r="IV212" s="18"/>
      <c r="JM212" s="475"/>
      <c r="JN212" s="476"/>
      <c r="JV212" s="475"/>
      <c r="JW212" s="476"/>
      <c r="JX212" s="477"/>
      <c r="JY212" s="476"/>
      <c r="JZ212" s="476"/>
      <c r="KE212" s="351"/>
      <c r="KF212" s="18"/>
      <c r="KH212" s="18"/>
      <c r="KN212" s="351"/>
      <c r="KO212" s="18"/>
      <c r="KW212" s="351"/>
      <c r="KX212" s="18"/>
      <c r="LO212" s="475"/>
      <c r="LP212" s="476"/>
      <c r="LQ212" s="472"/>
      <c r="LR212" s="476"/>
      <c r="LS212" s="476"/>
      <c r="MG212" s="476"/>
      <c r="MH212" s="18"/>
      <c r="MI212" s="18"/>
      <c r="MJ212" s="479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8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2377</v>
      </c>
      <c r="BK213" s="50"/>
      <c r="BN213" s="49" t="s">
        <v>4625</v>
      </c>
      <c r="BQ213" s="89"/>
      <c r="BT213" s="50"/>
      <c r="BX213" s="18"/>
      <c r="BY213" s="18"/>
      <c r="BZ213" s="472"/>
      <c r="CA213" s="18"/>
      <c r="CF213" s="18"/>
      <c r="CG213" s="18"/>
      <c r="CH213" s="472"/>
      <c r="CI213" s="18"/>
      <c r="CJ213" s="18"/>
      <c r="CO213" s="18"/>
      <c r="CP213" s="18"/>
      <c r="CQ213" s="472"/>
      <c r="CR213" s="18"/>
      <c r="CS213" s="18"/>
      <c r="CX213" s="18"/>
      <c r="CY213" s="18"/>
      <c r="CZ213" s="472"/>
      <c r="DA213" s="18"/>
      <c r="DB213" s="18"/>
      <c r="DG213" s="18"/>
      <c r="DH213" s="18"/>
      <c r="DI213" s="472"/>
      <c r="DJ213" s="18"/>
      <c r="DK213" s="18"/>
      <c r="DP213" s="1"/>
      <c r="DQ213" s="1"/>
      <c r="DR213" s="473"/>
      <c r="DS213" s="1"/>
      <c r="DT213" s="1"/>
      <c r="DY213" s="18"/>
      <c r="DZ213" s="18"/>
      <c r="EA213" s="472"/>
      <c r="EB213" s="18"/>
      <c r="EC213" s="18"/>
      <c r="EH213" s="18"/>
      <c r="EI213" s="18"/>
      <c r="EJ213" s="472"/>
      <c r="EK213" s="18"/>
      <c r="EL213" s="18"/>
      <c r="EQ213" s="18"/>
      <c r="ER213" s="18"/>
      <c r="ES213" s="472"/>
      <c r="ET213" s="18"/>
      <c r="EU213" s="18"/>
      <c r="EZ213" s="18"/>
      <c r="FA213" s="18"/>
      <c r="FB213" s="472"/>
      <c r="FC213" s="18"/>
      <c r="FD213" s="18"/>
      <c r="FI213" s="18"/>
      <c r="FJ213" s="18"/>
      <c r="FK213" s="472"/>
      <c r="FL213" s="18"/>
      <c r="FM213" s="18"/>
      <c r="FR213" s="18"/>
      <c r="FS213" s="18"/>
      <c r="FT213" s="472"/>
      <c r="FU213" s="18"/>
      <c r="FV213" s="18"/>
      <c r="GA213" s="18"/>
      <c r="GB213" s="18"/>
      <c r="GC213" s="472"/>
      <c r="GD213" s="18"/>
      <c r="GE213" s="18"/>
      <c r="GJ213" s="18"/>
      <c r="GK213" s="18"/>
      <c r="GL213" s="472"/>
      <c r="GM213" s="18"/>
      <c r="GN213" s="18"/>
      <c r="HB213" s="18"/>
      <c r="HC213" s="18"/>
      <c r="HK213" s="18"/>
      <c r="HL213" s="18"/>
      <c r="HT213" s="18"/>
      <c r="HU213" s="474"/>
      <c r="IL213" s="18"/>
      <c r="IM213" s="18"/>
      <c r="IU213" s="18"/>
      <c r="IV213" s="18"/>
      <c r="JM213" s="476"/>
      <c r="JN213" s="476"/>
      <c r="JV213" s="476"/>
      <c r="JW213" s="476"/>
      <c r="JX213" s="477"/>
      <c r="JY213" s="476"/>
      <c r="JZ213" s="476"/>
      <c r="KE213" s="18"/>
      <c r="KF213" s="18"/>
      <c r="KH213" s="18"/>
      <c r="KN213" s="18"/>
      <c r="KO213" s="18"/>
      <c r="KW213" s="18"/>
      <c r="KX213" s="18"/>
      <c r="LO213" s="476"/>
      <c r="LP213" s="476"/>
      <c r="LQ213" s="472"/>
      <c r="LR213" s="476"/>
      <c r="LS213" s="476"/>
      <c r="MG213" s="476"/>
      <c r="MH213" s="18"/>
      <c r="MI213" s="18"/>
      <c r="MJ213" s="479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1910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2399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4662</v>
      </c>
      <c r="BS214" s="3" t="s">
        <v>1464</v>
      </c>
      <c r="BT214" s="50"/>
      <c r="BX214" s="479"/>
      <c r="BY214" s="18"/>
      <c r="BZ214" s="472"/>
      <c r="CA214" s="18"/>
      <c r="CF214" s="479"/>
      <c r="CG214" s="18"/>
      <c r="CH214" s="472"/>
      <c r="CI214" s="18"/>
      <c r="CJ214" s="18"/>
      <c r="CO214" s="479"/>
      <c r="CP214" s="18"/>
      <c r="CQ214" s="472"/>
      <c r="CR214" s="18"/>
      <c r="CS214" s="18"/>
      <c r="CX214" s="479"/>
      <c r="CY214" s="18"/>
      <c r="CZ214" s="472"/>
      <c r="DA214" s="18"/>
      <c r="DB214" s="18"/>
      <c r="DG214" s="479"/>
      <c r="DH214" s="18"/>
      <c r="DI214" s="472"/>
      <c r="DJ214" s="18"/>
      <c r="DK214" s="18"/>
      <c r="DP214" s="481"/>
      <c r="DQ214" s="1"/>
      <c r="DR214" s="473"/>
      <c r="DS214" s="1"/>
      <c r="DT214" s="1"/>
      <c r="DY214" s="479"/>
      <c r="DZ214" s="18"/>
      <c r="EA214" s="472"/>
      <c r="EB214" s="18"/>
      <c r="EC214" s="18"/>
      <c r="EH214" s="479"/>
      <c r="EI214" s="18"/>
      <c r="EJ214" s="472"/>
      <c r="EK214" s="18"/>
      <c r="EL214" s="18"/>
      <c r="EQ214" s="479"/>
      <c r="ER214" s="18"/>
      <c r="ES214" s="472"/>
      <c r="ET214" s="18"/>
      <c r="EU214" s="18"/>
      <c r="EZ214" s="479"/>
      <c r="FA214" s="18"/>
      <c r="FB214" s="472"/>
      <c r="FC214" s="18"/>
      <c r="FD214" s="18"/>
      <c r="FI214" s="479"/>
      <c r="FJ214" s="18"/>
      <c r="FK214" s="472"/>
      <c r="FL214" s="18"/>
      <c r="FM214" s="18"/>
      <c r="FR214" s="482"/>
      <c r="FS214" s="18"/>
      <c r="FT214" s="472"/>
      <c r="FU214" s="18"/>
      <c r="FV214" s="18"/>
      <c r="GA214" s="479"/>
      <c r="GB214" s="18"/>
      <c r="GC214" s="472"/>
      <c r="GD214" s="18"/>
      <c r="GE214" s="18"/>
      <c r="GJ214" s="479"/>
      <c r="GK214" s="18"/>
      <c r="GL214" s="472"/>
      <c r="GM214" s="18"/>
      <c r="GN214" s="18"/>
      <c r="HB214" s="482"/>
      <c r="HC214" s="18"/>
      <c r="HK214" s="482"/>
      <c r="HL214" s="18"/>
      <c r="HT214" s="18"/>
      <c r="HU214" s="474"/>
      <c r="IL214" s="479"/>
      <c r="IM214" s="18"/>
      <c r="IU214" s="482"/>
      <c r="IV214" s="18"/>
      <c r="JM214" s="479"/>
      <c r="JN214" s="476"/>
      <c r="JV214" s="479"/>
      <c r="JW214" s="476"/>
      <c r="JX214" s="477"/>
      <c r="JY214" s="476"/>
      <c r="JZ214" s="476"/>
      <c r="KE214" s="482"/>
      <c r="KF214" s="18"/>
      <c r="KH214" s="18"/>
      <c r="KN214" s="482"/>
      <c r="KO214" s="18"/>
      <c r="KW214" s="482"/>
      <c r="KX214" s="18"/>
      <c r="LO214" s="479"/>
      <c r="LP214" s="476"/>
      <c r="LQ214" s="472"/>
      <c r="LR214" s="476"/>
      <c r="LS214" s="476"/>
      <c r="MG214" s="476"/>
      <c r="MH214" s="18"/>
      <c r="MI214" s="18"/>
      <c r="MJ214" s="479"/>
      <c r="ML214" s="18"/>
      <c r="MP214" s="482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2358</v>
      </c>
      <c r="BK215" s="50"/>
      <c r="BN215" s="49" t="s">
        <v>4625</v>
      </c>
      <c r="BQ215" s="89"/>
      <c r="BT215" s="50"/>
      <c r="BX215" s="18"/>
      <c r="BY215" s="18"/>
      <c r="BZ215" s="472"/>
      <c r="CA215" s="18"/>
      <c r="CF215" s="18"/>
      <c r="CG215" s="18"/>
      <c r="CH215" s="472"/>
      <c r="CI215" s="18"/>
      <c r="CJ215" s="18"/>
      <c r="CO215" s="18"/>
      <c r="CP215" s="18"/>
      <c r="CQ215" s="472"/>
      <c r="CR215" s="18"/>
      <c r="CS215" s="18"/>
      <c r="CX215" s="18"/>
      <c r="CY215" s="18"/>
      <c r="CZ215" s="472"/>
      <c r="DA215" s="18"/>
      <c r="DB215" s="18"/>
      <c r="DG215" s="18"/>
      <c r="DH215" s="18"/>
      <c r="DI215" s="472"/>
      <c r="DJ215" s="18"/>
      <c r="DK215" s="18"/>
      <c r="DP215" s="1"/>
      <c r="DQ215" s="1"/>
      <c r="DR215" s="473"/>
      <c r="DS215" s="1"/>
      <c r="DT215" s="1"/>
      <c r="DY215" s="18"/>
      <c r="DZ215" s="18"/>
      <c r="EA215" s="472"/>
      <c r="EB215" s="18"/>
      <c r="EC215" s="18"/>
      <c r="EH215" s="18"/>
      <c r="EI215" s="18"/>
      <c r="EJ215" s="472"/>
      <c r="EK215" s="18"/>
      <c r="EL215" s="18"/>
      <c r="EQ215" s="18"/>
      <c r="ER215" s="18"/>
      <c r="ES215" s="472"/>
      <c r="ET215" s="18"/>
      <c r="EU215" s="18"/>
      <c r="EZ215" s="18"/>
      <c r="FA215" s="18"/>
      <c r="FB215" s="472"/>
      <c r="FC215" s="18"/>
      <c r="FD215" s="18"/>
      <c r="FI215" s="18"/>
      <c r="FJ215" s="18"/>
      <c r="FK215" s="472"/>
      <c r="FL215" s="18"/>
      <c r="FM215" s="18"/>
      <c r="FR215" s="18"/>
      <c r="FS215" s="18"/>
      <c r="FT215" s="472"/>
      <c r="FU215" s="18"/>
      <c r="FV215" s="18"/>
      <c r="GA215" s="18"/>
      <c r="GB215" s="18"/>
      <c r="GC215" s="472"/>
      <c r="GD215" s="18"/>
      <c r="GE215" s="18"/>
      <c r="GJ215" s="18"/>
      <c r="GK215" s="18"/>
      <c r="GL215" s="472"/>
      <c r="GM215" s="18"/>
      <c r="GN215" s="18"/>
      <c r="HB215" s="18"/>
      <c r="HC215" s="18"/>
      <c r="HK215" s="18"/>
      <c r="HL215" s="18"/>
      <c r="HT215" s="18"/>
      <c r="HU215" s="474"/>
      <c r="IL215" s="18"/>
      <c r="IM215" s="18"/>
      <c r="IU215" s="18"/>
      <c r="IV215" s="18"/>
      <c r="JM215" s="476"/>
      <c r="JN215" s="476"/>
      <c r="JV215" s="476"/>
      <c r="JW215" s="476"/>
      <c r="JX215" s="477"/>
      <c r="JY215" s="476"/>
      <c r="JZ215" s="476"/>
      <c r="KE215" s="18"/>
      <c r="KF215" s="18"/>
      <c r="KH215" s="18"/>
      <c r="KN215" s="18"/>
      <c r="KO215" s="18"/>
      <c r="KW215" s="18"/>
      <c r="KX215" s="18"/>
      <c r="LO215" s="476"/>
      <c r="LP215" s="476"/>
      <c r="LQ215" s="472"/>
      <c r="LR215" s="476"/>
      <c r="LS215" s="476"/>
      <c r="MG215" s="476"/>
      <c r="MH215" s="18"/>
      <c r="MI215" s="18"/>
      <c r="MJ215" s="479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1911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2400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4664</v>
      </c>
      <c r="BS216" s="3" t="s">
        <v>1465</v>
      </c>
      <c r="BT216" s="50"/>
      <c r="BX216" s="18"/>
      <c r="BY216" s="18"/>
      <c r="BZ216" s="472"/>
      <c r="CA216" s="18"/>
      <c r="CF216" s="18"/>
      <c r="CG216" s="18"/>
      <c r="CH216" s="472"/>
      <c r="CI216" s="18"/>
      <c r="CJ216" s="18"/>
      <c r="CO216" s="18"/>
      <c r="CP216" s="18"/>
      <c r="CQ216" s="472"/>
      <c r="CR216" s="18"/>
      <c r="CS216" s="18"/>
      <c r="CX216" s="18"/>
      <c r="CY216" s="18"/>
      <c r="CZ216" s="472"/>
      <c r="DA216" s="18"/>
      <c r="DB216" s="18"/>
      <c r="DG216" s="18"/>
      <c r="DH216" s="18"/>
      <c r="DI216" s="472"/>
      <c r="DJ216" s="18"/>
      <c r="DK216" s="18"/>
      <c r="DP216" s="1"/>
      <c r="DQ216" s="1"/>
      <c r="DR216" s="473"/>
      <c r="DS216" s="1"/>
      <c r="DT216" s="1"/>
      <c r="DY216" s="18"/>
      <c r="DZ216" s="18"/>
      <c r="EA216" s="472"/>
      <c r="EB216" s="18"/>
      <c r="EC216" s="18"/>
      <c r="EH216" s="18"/>
      <c r="EI216" s="18"/>
      <c r="EJ216" s="472"/>
      <c r="EK216" s="18"/>
      <c r="EL216" s="18"/>
      <c r="EQ216" s="18"/>
      <c r="ER216" s="18"/>
      <c r="ES216" s="472"/>
      <c r="ET216" s="18"/>
      <c r="EU216" s="18"/>
      <c r="EZ216" s="18"/>
      <c r="FA216" s="18"/>
      <c r="FB216" s="472"/>
      <c r="FC216" s="18"/>
      <c r="FD216" s="18"/>
      <c r="FI216" s="18"/>
      <c r="FJ216" s="18"/>
      <c r="FK216" s="472"/>
      <c r="FL216" s="18"/>
      <c r="FM216" s="18"/>
      <c r="FR216" s="18"/>
      <c r="FS216" s="18"/>
      <c r="FT216" s="472"/>
      <c r="FU216" s="18"/>
      <c r="FV216" s="18"/>
      <c r="GA216" s="18"/>
      <c r="GB216" s="18"/>
      <c r="GC216" s="472"/>
      <c r="GD216" s="18"/>
      <c r="GE216" s="18"/>
      <c r="GJ216" s="18"/>
      <c r="GK216" s="18"/>
      <c r="GL216" s="472"/>
      <c r="GM216" s="18"/>
      <c r="GN216" s="18"/>
      <c r="HB216" s="18"/>
      <c r="HC216" s="18"/>
      <c r="HK216" s="18"/>
      <c r="HL216" s="18"/>
      <c r="HT216" s="18"/>
      <c r="HU216" s="474"/>
      <c r="IL216" s="18"/>
      <c r="IM216" s="18"/>
      <c r="IU216" s="18"/>
      <c r="IV216" s="18"/>
      <c r="JM216" s="476"/>
      <c r="JN216" s="476"/>
      <c r="JV216" s="476"/>
      <c r="JW216" s="476"/>
      <c r="JX216" s="477"/>
      <c r="JY216" s="476"/>
      <c r="JZ216" s="476"/>
      <c r="KE216" s="18"/>
      <c r="KF216" s="18"/>
      <c r="KH216" s="18"/>
      <c r="KN216" s="18"/>
      <c r="KO216" s="18"/>
      <c r="KW216" s="18"/>
      <c r="KX216" s="18"/>
      <c r="LO216" s="476"/>
      <c r="LP216" s="476"/>
      <c r="LQ216" s="472"/>
      <c r="LR216" s="476"/>
      <c r="LS216" s="476"/>
      <c r="MG216" s="476"/>
      <c r="MH216" s="18"/>
      <c r="MI216" s="18"/>
      <c r="MJ216" s="479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8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2377</v>
      </c>
      <c r="BK217" s="50"/>
      <c r="BN217" s="49" t="s">
        <v>4645</v>
      </c>
      <c r="BQ217" s="89"/>
      <c r="BT217" s="50"/>
      <c r="BX217" s="351"/>
      <c r="BY217" s="18"/>
      <c r="BZ217" s="472"/>
      <c r="CA217" s="18"/>
      <c r="CF217" s="351"/>
      <c r="CG217" s="18"/>
      <c r="CH217" s="472"/>
      <c r="CI217" s="18"/>
      <c r="CJ217" s="18"/>
      <c r="CO217" s="351"/>
      <c r="CP217" s="18"/>
      <c r="CQ217" s="472"/>
      <c r="CR217" s="18"/>
      <c r="CS217" s="18"/>
      <c r="CX217" s="351"/>
      <c r="CY217" s="18"/>
      <c r="CZ217" s="472"/>
      <c r="DA217" s="18"/>
      <c r="DB217" s="18"/>
      <c r="DG217" s="351"/>
      <c r="DH217" s="18"/>
      <c r="DI217" s="472"/>
      <c r="DJ217" s="18"/>
      <c r="DK217" s="18"/>
      <c r="DP217" s="381"/>
      <c r="DQ217" s="1"/>
      <c r="DR217" s="473"/>
      <c r="DS217" s="1"/>
      <c r="DT217" s="1"/>
      <c r="DY217" s="351"/>
      <c r="DZ217" s="18"/>
      <c r="EA217" s="472"/>
      <c r="EB217" s="18"/>
      <c r="EC217" s="18"/>
      <c r="EH217" s="351"/>
      <c r="EI217" s="18"/>
      <c r="EJ217" s="472"/>
      <c r="EK217" s="18"/>
      <c r="EL217" s="18"/>
      <c r="EQ217" s="351"/>
      <c r="ER217" s="18"/>
      <c r="ES217" s="472"/>
      <c r="ET217" s="18"/>
      <c r="EU217" s="18"/>
      <c r="EZ217" s="351"/>
      <c r="FA217" s="18"/>
      <c r="FB217" s="472"/>
      <c r="FC217" s="18"/>
      <c r="FD217" s="18"/>
      <c r="FI217" s="351"/>
      <c r="FJ217" s="18"/>
      <c r="FK217" s="472"/>
      <c r="FL217" s="18"/>
      <c r="FM217" s="18"/>
      <c r="FR217" s="351"/>
      <c r="FS217" s="18"/>
      <c r="FT217" s="472"/>
      <c r="FU217" s="18"/>
      <c r="FV217" s="18"/>
      <c r="GA217" s="351"/>
      <c r="GB217" s="18"/>
      <c r="GC217" s="472"/>
      <c r="GD217" s="18"/>
      <c r="GE217" s="18"/>
      <c r="GJ217" s="351"/>
      <c r="GK217" s="18"/>
      <c r="GL217" s="472"/>
      <c r="GM217" s="18"/>
      <c r="GN217" s="18"/>
      <c r="HB217" s="351"/>
      <c r="HC217" s="18"/>
      <c r="HK217" s="351"/>
      <c r="HL217" s="18"/>
      <c r="HT217" s="18"/>
      <c r="HU217" s="474"/>
      <c r="IL217" s="351"/>
      <c r="IM217" s="18"/>
      <c r="IU217" s="351"/>
      <c r="IV217" s="18"/>
      <c r="JM217" s="475"/>
      <c r="JN217" s="476"/>
      <c r="JV217" s="475"/>
      <c r="JW217" s="476"/>
      <c r="JX217" s="477"/>
      <c r="JY217" s="476"/>
      <c r="JZ217" s="476"/>
      <c r="KE217" s="351"/>
      <c r="KF217" s="18"/>
      <c r="KH217" s="18"/>
      <c r="KN217" s="351"/>
      <c r="KO217" s="18"/>
      <c r="KW217" s="351"/>
      <c r="KX217" s="18"/>
      <c r="LO217" s="475"/>
      <c r="LP217" s="476"/>
      <c r="LQ217" s="472"/>
      <c r="LR217" s="476"/>
      <c r="LS217" s="476"/>
      <c r="MG217" s="476"/>
      <c r="MH217" s="18"/>
      <c r="MI217" s="18"/>
      <c r="MJ217" s="479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8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1912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2401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4665</v>
      </c>
      <c r="BS218" s="3" t="s">
        <v>1466</v>
      </c>
      <c r="BT218" s="50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3124</v>
      </c>
      <c r="BK219" s="50"/>
      <c r="BN219" s="49" t="s">
        <v>4625</v>
      </c>
      <c r="BO219" s="9"/>
      <c r="BP219" s="63"/>
      <c r="BQ219" s="89"/>
      <c r="BR219" s="59"/>
      <c r="BS219" s="59"/>
      <c r="BT219" s="50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8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1913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2411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8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2377</v>
      </c>
      <c r="BH221" s="89"/>
      <c r="BJ221" s="3"/>
      <c r="BK221" s="50"/>
      <c r="BN221" s="49" t="s">
        <v>4645</v>
      </c>
      <c r="BO221" s="214"/>
      <c r="BP221" s="63"/>
      <c r="BQ221" s="89"/>
      <c r="BR221" s="59"/>
      <c r="BS221" s="59"/>
      <c r="BT221" s="50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1914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2412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4666</v>
      </c>
      <c r="BS222" s="3" t="s">
        <v>1468</v>
      </c>
      <c r="BT222" s="50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8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2377</v>
      </c>
      <c r="BH223" s="89"/>
      <c r="BJ223" s="3"/>
      <c r="BK223" s="50"/>
      <c r="BN223" s="49" t="s">
        <v>4625</v>
      </c>
      <c r="BO223" s="63"/>
      <c r="BP223" s="63"/>
      <c r="BQ223" s="89"/>
      <c r="BR223" s="59"/>
      <c r="BS223" s="59"/>
      <c r="BT223" s="50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6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1915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2413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4667</v>
      </c>
      <c r="BS224" s="3" t="s">
        <v>1469</v>
      </c>
      <c r="BT224" s="50"/>
    </row>
    <row r="225" spans="1:72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2377</v>
      </c>
      <c r="BH225" s="89"/>
      <c r="BJ225" s="3"/>
      <c r="BK225" s="50"/>
      <c r="BN225" s="49" t="s">
        <v>4625</v>
      </c>
      <c r="BO225" s="9"/>
      <c r="BP225" s="63"/>
      <c r="BQ225" s="89"/>
      <c r="BR225" s="59"/>
      <c r="BS225" s="59"/>
      <c r="BT225" s="50"/>
    </row>
    <row r="226" spans="1:72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8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1916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2414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4668</v>
      </c>
      <c r="BS226" s="3" t="s">
        <v>1470</v>
      </c>
      <c r="BT226" s="50"/>
    </row>
    <row r="227" spans="1:72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2377</v>
      </c>
      <c r="BH227" s="89"/>
      <c r="BJ227" s="3"/>
      <c r="BK227" s="50"/>
      <c r="BN227" s="49" t="s">
        <v>4625</v>
      </c>
      <c r="BO227" s="63"/>
      <c r="BP227" s="63"/>
      <c r="BQ227" s="89"/>
      <c r="BR227" s="59"/>
      <c r="BS227" s="59"/>
      <c r="BT227" s="50"/>
    </row>
    <row r="228" spans="1:72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8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1917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2415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4669</v>
      </c>
      <c r="BS228" s="3" t="s">
        <v>1471</v>
      </c>
      <c r="BT228" s="50"/>
    </row>
    <row r="229" spans="1:72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2377</v>
      </c>
      <c r="BH229" s="89"/>
      <c r="BJ229" s="3"/>
      <c r="BK229" s="50"/>
      <c r="BN229" s="49" t="s">
        <v>4645</v>
      </c>
      <c r="BQ229" s="89"/>
      <c r="BT229" s="50"/>
    </row>
    <row r="230" spans="1:72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8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1918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2416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4670</v>
      </c>
      <c r="BS230" s="3" t="s">
        <v>1472</v>
      </c>
      <c r="BT230" s="50"/>
    </row>
    <row r="231" spans="1:72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8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2377</v>
      </c>
      <c r="BH231" s="89"/>
      <c r="BJ231" s="3"/>
      <c r="BK231" s="50"/>
      <c r="BN231" s="49" t="s">
        <v>4625</v>
      </c>
      <c r="BQ231" s="89"/>
      <c r="BT231" s="50"/>
    </row>
    <row r="232" spans="1:72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1919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2417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1902</v>
      </c>
      <c r="BS232" s="3" t="s">
        <v>1473</v>
      </c>
      <c r="BT232" s="50"/>
    </row>
    <row r="233" spans="1:72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2359</v>
      </c>
      <c r="BH233" s="89"/>
      <c r="BJ233" s="3"/>
      <c r="BK233" s="50"/>
      <c r="BN233" s="49" t="s">
        <v>4645</v>
      </c>
      <c r="BQ233" s="89"/>
      <c r="BT233" s="50"/>
    </row>
    <row r="234" spans="1:72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1920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2418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4671</v>
      </c>
      <c r="BS234" s="3" t="s">
        <v>1474</v>
      </c>
      <c r="BT234" s="50"/>
    </row>
    <row r="235" spans="1:72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2359</v>
      </c>
      <c r="BH235" s="89"/>
      <c r="BJ235" s="3"/>
      <c r="BK235" s="50"/>
      <c r="BN235" s="49" t="s">
        <v>4645</v>
      </c>
      <c r="BQ235" s="89"/>
      <c r="BT235" s="50"/>
    </row>
    <row r="236" spans="1:72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1921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2419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4672</v>
      </c>
      <c r="BS236" s="3" t="s">
        <v>1475</v>
      </c>
      <c r="BT236" s="50"/>
    </row>
    <row r="237" spans="1:72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8"/>
      <c r="V237" s="50"/>
      <c r="W237" s="50"/>
      <c r="X237" s="335"/>
      <c r="Y237" s="50"/>
      <c r="Z237" s="50"/>
      <c r="AB237" s="496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2359</v>
      </c>
      <c r="BH237" s="89"/>
      <c r="BJ237" s="3"/>
      <c r="BK237" s="50"/>
      <c r="BN237" s="49" t="s">
        <v>4625</v>
      </c>
      <c r="BQ237" s="89"/>
      <c r="BT237" s="50"/>
    </row>
    <row r="238" spans="1:72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1922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2420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4673</v>
      </c>
      <c r="BS238" s="3" t="s">
        <v>1476</v>
      </c>
      <c r="BT238" s="50"/>
    </row>
    <row r="239" spans="1:72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2359</v>
      </c>
      <c r="BH239" s="89"/>
      <c r="BJ239" s="60"/>
      <c r="BK239" s="50"/>
      <c r="BN239" s="49" t="s">
        <v>4625</v>
      </c>
      <c r="BO239" s="103"/>
      <c r="BP239" s="63"/>
      <c r="BQ239" s="89"/>
      <c r="BR239" s="59"/>
      <c r="BS239" s="59"/>
      <c r="BT239" s="50"/>
    </row>
    <row r="240" spans="1:72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8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1923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2421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4674</v>
      </c>
      <c r="BS240" s="3" t="s">
        <v>1477</v>
      </c>
      <c r="BT240" s="50"/>
    </row>
    <row r="241" spans="1:72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2377</v>
      </c>
      <c r="BH241" s="89"/>
      <c r="BJ241" s="60"/>
      <c r="BK241" s="50"/>
      <c r="BN241" s="49" t="s">
        <v>4645</v>
      </c>
      <c r="BO241" s="63"/>
      <c r="BP241" s="63"/>
      <c r="BQ241" s="89"/>
      <c r="BR241" s="59"/>
      <c r="BS241" s="59"/>
      <c r="BT241" s="50"/>
    </row>
    <row r="242" spans="1:72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1924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2422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4675</v>
      </c>
      <c r="BS242" s="3" t="s">
        <v>1478</v>
      </c>
      <c r="BT242" s="50"/>
    </row>
    <row r="243" spans="1:72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2359</v>
      </c>
      <c r="BH243" s="89"/>
      <c r="BJ243" s="3"/>
      <c r="BK243" s="50"/>
      <c r="BN243" s="49" t="s">
        <v>4645</v>
      </c>
      <c r="BO243" s="103"/>
      <c r="BP243" s="63"/>
      <c r="BQ243" s="89"/>
      <c r="BR243" s="59"/>
      <c r="BS243" s="59"/>
      <c r="BT243" s="50"/>
    </row>
    <row r="244" spans="1:72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8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1925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2423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4676</v>
      </c>
      <c r="BS244" t="s">
        <v>1479</v>
      </c>
      <c r="BT244" s="50"/>
    </row>
    <row r="245" spans="1:72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8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2359</v>
      </c>
      <c r="BH245" s="89"/>
      <c r="BK245" s="50"/>
      <c r="BN245" s="49" t="s">
        <v>4645</v>
      </c>
      <c r="BO245" s="63"/>
      <c r="BP245" s="63"/>
      <c r="BQ245" s="89"/>
      <c r="BR245" s="59"/>
      <c r="BS245" s="59"/>
      <c r="BT245" s="50"/>
    </row>
    <row r="246" spans="1:72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1926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2424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4677</v>
      </c>
      <c r="BS246" t="s">
        <v>1480</v>
      </c>
      <c r="BT246" s="50"/>
    </row>
    <row r="247" spans="1:72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8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2359</v>
      </c>
      <c r="BH247" s="89"/>
      <c r="BK247" s="50"/>
      <c r="BN247" s="49" t="s">
        <v>4625</v>
      </c>
      <c r="BO247" s="63"/>
      <c r="BP247" s="63"/>
      <c r="BQ247" s="89"/>
      <c r="BR247" s="59"/>
      <c r="BS247" s="59"/>
      <c r="BT247" s="50"/>
    </row>
    <row r="248" spans="1:72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8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1927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2425</v>
      </c>
      <c r="BJ248" t="s">
        <v>1481</v>
      </c>
      <c r="BK248" s="50"/>
      <c r="BN248" s="278" t="s">
        <v>2012</v>
      </c>
      <c r="BO248" s="103"/>
      <c r="BP248" s="63"/>
      <c r="BQ248" s="171">
        <v>40152.850000000028</v>
      </c>
      <c r="BR248" s="239" t="s">
        <v>4678</v>
      </c>
      <c r="BS248" t="s">
        <v>1481</v>
      </c>
      <c r="BT248" s="50"/>
    </row>
    <row r="249" spans="1:72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2359</v>
      </c>
      <c r="BH249" s="89"/>
      <c r="BK249" s="50"/>
      <c r="BN249" s="49" t="s">
        <v>4824</v>
      </c>
      <c r="BQ249" s="89"/>
      <c r="BT249" s="50"/>
    </row>
    <row r="250" spans="1:72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1928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2426</v>
      </c>
      <c r="BJ250" t="s">
        <v>1482</v>
      </c>
      <c r="BK250" s="50"/>
      <c r="BN250" s="278" t="s">
        <v>2010</v>
      </c>
      <c r="BO250" s="103"/>
      <c r="BP250" s="63"/>
      <c r="BQ250" s="171">
        <v>39826.924999999945</v>
      </c>
      <c r="BR250" s="239" t="s">
        <v>4679</v>
      </c>
      <c r="BS250" t="s">
        <v>1482</v>
      </c>
      <c r="BT250" s="50"/>
    </row>
    <row r="251" spans="1:72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2359</v>
      </c>
      <c r="BH251" s="89"/>
      <c r="BJ251" s="89"/>
      <c r="BK251" s="50"/>
      <c r="BN251" s="49" t="s">
        <v>4824</v>
      </c>
      <c r="BQ251" s="89"/>
      <c r="BT251" s="50"/>
    </row>
    <row r="252" spans="1:72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1929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2427</v>
      </c>
      <c r="BJ252" t="s">
        <v>1483</v>
      </c>
      <c r="BK252" s="50"/>
      <c r="BN252" s="278" t="s">
        <v>2022</v>
      </c>
      <c r="BO252" s="103"/>
      <c r="BP252" s="63"/>
      <c r="BQ252" s="171">
        <v>39628.612499999937</v>
      </c>
      <c r="BR252" s="239" t="s">
        <v>4680</v>
      </c>
      <c r="BS252" t="s">
        <v>1483</v>
      </c>
      <c r="BT252" s="50"/>
    </row>
    <row r="253" spans="1:72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8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2359</v>
      </c>
      <c r="BH253" s="89"/>
      <c r="BK253" s="50"/>
      <c r="BN253" s="49" t="s">
        <v>4824</v>
      </c>
      <c r="BQ253" s="89"/>
      <c r="BT253" s="50"/>
    </row>
    <row r="254" spans="1:72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8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1930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2428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4681</v>
      </c>
      <c r="BS254" t="s">
        <v>1484</v>
      </c>
      <c r="BT254" s="50"/>
    </row>
    <row r="255" spans="1:72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8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2359</v>
      </c>
      <c r="BH255" s="89"/>
      <c r="BK255" s="50"/>
      <c r="BN255" s="49" t="s">
        <v>4625</v>
      </c>
      <c r="BQ255" s="89"/>
      <c r="BT255" s="50"/>
    </row>
    <row r="256" spans="1:72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8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1931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2429</v>
      </c>
      <c r="BJ256" t="s">
        <v>1485</v>
      </c>
      <c r="BK256" s="50"/>
      <c r="BN256" s="278" t="s">
        <v>2006</v>
      </c>
      <c r="BO256" s="63"/>
      <c r="BP256" s="63"/>
      <c r="BQ256" s="171">
        <v>37835.46249999998</v>
      </c>
      <c r="BR256" s="239" t="s">
        <v>4682</v>
      </c>
      <c r="BS256" t="s">
        <v>1485</v>
      </c>
      <c r="BT256" s="50"/>
    </row>
    <row r="257" spans="1:72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2359</v>
      </c>
      <c r="BH257" s="89"/>
      <c r="BK257" s="50"/>
      <c r="BN257" s="49" t="s">
        <v>4824</v>
      </c>
      <c r="BQ257" s="89"/>
      <c r="BT257" s="50"/>
    </row>
    <row r="258" spans="1:72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1932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2430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4683</v>
      </c>
      <c r="BS258" t="s">
        <v>1486</v>
      </c>
      <c r="BT258" s="50"/>
    </row>
    <row r="259" spans="1:72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8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2359</v>
      </c>
      <c r="BH259" s="89"/>
      <c r="BK259" s="50"/>
      <c r="BN259" s="49" t="s">
        <v>4625</v>
      </c>
      <c r="BQ259" s="89"/>
      <c r="BT259" s="50"/>
    </row>
    <row r="260" spans="1:72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1933</v>
      </c>
      <c r="BA260" t="s">
        <v>1855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2431</v>
      </c>
      <c r="BJ260" t="s">
        <v>1855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4684</v>
      </c>
      <c r="BS260" t="s">
        <v>1855</v>
      </c>
      <c r="BT260" s="50"/>
    </row>
    <row r="261" spans="1:72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4645</v>
      </c>
      <c r="BQ261" s="89"/>
      <c r="BT261" s="50"/>
    </row>
    <row r="262" spans="1:72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1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1934</v>
      </c>
      <c r="BA262" t="s">
        <v>1856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2432</v>
      </c>
      <c r="BJ262" t="s">
        <v>1856</v>
      </c>
      <c r="BK262" s="50"/>
      <c r="BN262" s="278" t="s">
        <v>2013</v>
      </c>
      <c r="BO262" s="103"/>
      <c r="BP262" s="63"/>
      <c r="BQ262" s="171">
        <v>36801.762499999953</v>
      </c>
      <c r="BR262" s="239" t="s">
        <v>4685</v>
      </c>
      <c r="BS262" t="s">
        <v>1856</v>
      </c>
      <c r="BT262" s="50"/>
    </row>
    <row r="263" spans="1:72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1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2359</v>
      </c>
      <c r="BH263" s="89"/>
      <c r="BK263" s="50"/>
      <c r="BN263" s="49" t="s">
        <v>4824</v>
      </c>
      <c r="BQ263" s="89"/>
      <c r="BT263" s="50"/>
    </row>
    <row r="264" spans="1:72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1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1935</v>
      </c>
      <c r="BA264" t="s">
        <v>1857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2433</v>
      </c>
      <c r="BJ264" t="s">
        <v>1857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4825</v>
      </c>
      <c r="BS264" t="s">
        <v>1857</v>
      </c>
      <c r="BT264" s="50"/>
    </row>
    <row r="265" spans="1:72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1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4645</v>
      </c>
      <c r="BQ265" s="89"/>
      <c r="BT265" s="50"/>
    </row>
    <row r="266" spans="1:72" ht="18">
      <c r="G266" s="63"/>
      <c r="H266" s="63"/>
      <c r="I266" s="289"/>
      <c r="J266" s="338"/>
      <c r="K266" s="63"/>
      <c r="O266" s="50"/>
      <c r="P266" s="50"/>
      <c r="T266" s="50"/>
      <c r="U266" s="508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1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1936</v>
      </c>
      <c r="BA266" t="s">
        <v>1858</v>
      </c>
      <c r="BB266" s="18"/>
      <c r="BC266"/>
      <c r="BE266" s="41" t="s">
        <v>2012</v>
      </c>
      <c r="BF266" s="3"/>
      <c r="BG266" s="338"/>
      <c r="BH266" s="171">
        <v>23405.400000000049</v>
      </c>
      <c r="BI266" s="239" t="s">
        <v>2436</v>
      </c>
      <c r="BJ266" t="s">
        <v>1858</v>
      </c>
      <c r="BN266" s="278" t="s">
        <v>2014</v>
      </c>
      <c r="BO266" s="103"/>
      <c r="BP266" s="63"/>
      <c r="BQ266" s="171">
        <v>35355.024999999834</v>
      </c>
      <c r="BR266" s="239" t="s">
        <v>4686</v>
      </c>
      <c r="BS266" t="s">
        <v>1858</v>
      </c>
    </row>
    <row r="267" spans="1:72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1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4824</v>
      </c>
      <c r="BQ267" s="89"/>
    </row>
    <row r="268" spans="1:72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1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1937</v>
      </c>
      <c r="BA268" t="s">
        <v>1859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2434</v>
      </c>
      <c r="BJ268" t="s">
        <v>1859</v>
      </c>
      <c r="BN268" s="278" t="s">
        <v>2015</v>
      </c>
      <c r="BO268" s="103"/>
      <c r="BP268" s="63"/>
      <c r="BQ268" s="171">
        <v>34697.900000000154</v>
      </c>
      <c r="BR268" s="239" t="s">
        <v>4687</v>
      </c>
      <c r="BS268" t="s">
        <v>1859</v>
      </c>
    </row>
    <row r="269" spans="1:72" ht="18">
      <c r="G269" s="219"/>
      <c r="H269" s="63"/>
      <c r="I269" s="289"/>
      <c r="J269" s="338"/>
      <c r="K269" s="63"/>
      <c r="O269" s="50"/>
      <c r="P269" s="50"/>
      <c r="T269" s="50"/>
      <c r="U269" s="458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1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3125</v>
      </c>
      <c r="BH269" s="89"/>
      <c r="BN269" s="49" t="s">
        <v>4824</v>
      </c>
      <c r="BQ269" s="89"/>
    </row>
    <row r="270" spans="1:72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1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1938</v>
      </c>
      <c r="BA270" t="s">
        <v>1860</v>
      </c>
      <c r="BB270" s="18"/>
      <c r="BC270"/>
      <c r="BE270" s="41" t="s">
        <v>2010</v>
      </c>
      <c r="BF270" s="3"/>
      <c r="BG270" s="338"/>
      <c r="BH270" s="171">
        <v>23005.50000000008</v>
      </c>
      <c r="BI270" s="239" t="s">
        <v>2435</v>
      </c>
      <c r="BJ270" t="s">
        <v>1860</v>
      </c>
      <c r="BN270" s="278" t="s">
        <v>2011</v>
      </c>
      <c r="BO270" s="103"/>
      <c r="BP270" s="63"/>
      <c r="BQ270" s="171">
        <v>31591.174999999974</v>
      </c>
      <c r="BR270" s="239" t="s">
        <v>4688</v>
      </c>
      <c r="BS270" t="s">
        <v>1860</v>
      </c>
    </row>
    <row r="271" spans="1:72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1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4824</v>
      </c>
      <c r="BQ271" s="89"/>
    </row>
    <row r="272" spans="1:72" ht="18">
      <c r="G272" s="63"/>
      <c r="H272" s="63"/>
      <c r="I272" s="270"/>
      <c r="J272" s="338"/>
      <c r="K272" s="63"/>
      <c r="O272" s="50"/>
      <c r="P272" s="50"/>
      <c r="T272" s="50"/>
      <c r="U272" s="458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1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1939</v>
      </c>
      <c r="BA272" t="s">
        <v>1861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2437</v>
      </c>
      <c r="BJ272" t="s">
        <v>1861</v>
      </c>
      <c r="BN272" s="278" t="s">
        <v>6</v>
      </c>
      <c r="BO272" s="9"/>
      <c r="BP272" s="63"/>
      <c r="BQ272" s="171">
        <v>29022.024999999987</v>
      </c>
      <c r="BR272" s="239" t="s">
        <v>4689</v>
      </c>
      <c r="BS272" t="s">
        <v>1861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8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1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2377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1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1940</v>
      </c>
      <c r="BA274" t="s">
        <v>1862</v>
      </c>
      <c r="BB274" s="18"/>
      <c r="BC274"/>
      <c r="BE274" s="41" t="s">
        <v>2022</v>
      </c>
      <c r="BF274" s="3"/>
      <c r="BG274" s="338"/>
      <c r="BH274" s="171">
        <v>22419.349999999889</v>
      </c>
      <c r="BI274" s="239" t="s">
        <v>2438</v>
      </c>
      <c r="BJ274" t="s">
        <v>1862</v>
      </c>
      <c r="BN274" s="278" t="s">
        <v>2007</v>
      </c>
      <c r="BO274" s="9"/>
      <c r="BP274" s="63"/>
      <c r="BQ274" s="171">
        <v>28119.574999999964</v>
      </c>
      <c r="BR274" s="239" t="s">
        <v>4690</v>
      </c>
      <c r="BS274" t="s">
        <v>1862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1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4824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1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1941</v>
      </c>
      <c r="BA276" t="s">
        <v>1863</v>
      </c>
      <c r="BB276" s="18"/>
      <c r="BC276"/>
      <c r="BE276" s="41" t="s">
        <v>2013</v>
      </c>
      <c r="BF276" s="3"/>
      <c r="BG276" s="338"/>
      <c r="BH276" s="171">
        <v>22226.350000000177</v>
      </c>
      <c r="BI276" s="239" t="s">
        <v>2439</v>
      </c>
      <c r="BJ276" t="s">
        <v>1863</v>
      </c>
      <c r="BN276" s="278" t="s">
        <v>19</v>
      </c>
      <c r="BO276" s="9"/>
      <c r="BP276" s="63"/>
      <c r="BQ276" s="171">
        <v>27967.699999999924</v>
      </c>
      <c r="BR276" s="239" t="s">
        <v>4691</v>
      </c>
      <c r="BS276" t="s">
        <v>1863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8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1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2377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1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1942</v>
      </c>
      <c r="BA278" t="s">
        <v>1864</v>
      </c>
      <c r="BB278" s="18"/>
      <c r="BC278"/>
      <c r="BE278" s="41" t="s">
        <v>2015</v>
      </c>
      <c r="BF278" s="3"/>
      <c r="BG278" s="338"/>
      <c r="BH278" s="171">
        <v>22038.700000000241</v>
      </c>
      <c r="BI278" s="239" t="s">
        <v>2440</v>
      </c>
      <c r="BJ278" t="s">
        <v>1864</v>
      </c>
      <c r="BN278" s="219" t="s">
        <v>1645</v>
      </c>
      <c r="BO278" s="9"/>
      <c r="BP278" s="63"/>
      <c r="BQ278" s="171">
        <v>22960.599999999871</v>
      </c>
      <c r="BR278" s="239" t="s">
        <v>4692</v>
      </c>
      <c r="BS278" t="s">
        <v>1864</v>
      </c>
    </row>
    <row r="279" spans="7:71" ht="18">
      <c r="O279" s="50"/>
      <c r="P279" s="50"/>
      <c r="T279" s="50"/>
      <c r="U279" s="458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1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2359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1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1943</v>
      </c>
      <c r="BA280" t="s">
        <v>1865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2441</v>
      </c>
      <c r="BJ280" t="s">
        <v>1865</v>
      </c>
      <c r="BN280" s="278" t="s">
        <v>2161</v>
      </c>
      <c r="BO280" s="63"/>
      <c r="BP280" s="63"/>
      <c r="BQ280" s="171">
        <v>22716.800000000105</v>
      </c>
      <c r="BR280" s="239" t="s">
        <v>4693</v>
      </c>
      <c r="BS280" t="s">
        <v>1865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1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1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1944</v>
      </c>
      <c r="BA282" t="s">
        <v>1866</v>
      </c>
      <c r="BB282" s="18"/>
      <c r="BC282"/>
      <c r="BE282" s="41" t="s">
        <v>2014</v>
      </c>
      <c r="BF282" s="3"/>
      <c r="BG282" s="338"/>
      <c r="BH282" s="171">
        <v>21549.599999999831</v>
      </c>
      <c r="BI282" s="239" t="s">
        <v>2442</v>
      </c>
      <c r="BJ282" t="s">
        <v>1866</v>
      </c>
      <c r="BN282" s="278" t="s">
        <v>4559</v>
      </c>
      <c r="BO282" s="63"/>
      <c r="BP282" s="63"/>
      <c r="BQ282" s="171">
        <v>20458.800000000094</v>
      </c>
      <c r="BR282" s="239" t="s">
        <v>4694</v>
      </c>
      <c r="BS282" t="s">
        <v>1866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1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8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1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1891</v>
      </c>
      <c r="BA284" t="s">
        <v>1867</v>
      </c>
      <c r="BB284" s="18"/>
      <c r="BC284"/>
      <c r="BE284" s="41" t="s">
        <v>2006</v>
      </c>
      <c r="BF284" s="3"/>
      <c r="BG284" s="338"/>
      <c r="BH284" s="171">
        <v>21281.950000000004</v>
      </c>
      <c r="BI284" s="239" t="s">
        <v>2443</v>
      </c>
      <c r="BJ284" t="s">
        <v>1867</v>
      </c>
      <c r="BN284" s="278" t="s">
        <v>2027</v>
      </c>
      <c r="BO284" s="63"/>
      <c r="BP284" s="63"/>
      <c r="BQ284" s="171">
        <v>20433.00000000004</v>
      </c>
      <c r="BR284" s="239" t="s">
        <v>4695</v>
      </c>
      <c r="BS284" t="s">
        <v>1867</v>
      </c>
    </row>
    <row r="285" spans="7:71" ht="18">
      <c r="O285" s="50"/>
      <c r="P285" s="50"/>
      <c r="T285" s="50"/>
      <c r="U285" s="458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1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1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1945</v>
      </c>
      <c r="BA286" t="s">
        <v>1868</v>
      </c>
      <c r="BB286" s="18"/>
      <c r="BC286"/>
      <c r="BE286" s="41" t="s">
        <v>2011</v>
      </c>
      <c r="BF286" s="3"/>
      <c r="BG286" s="338"/>
      <c r="BH286" s="171">
        <v>20666.500000000051</v>
      </c>
      <c r="BI286" s="239" t="s">
        <v>2444</v>
      </c>
      <c r="BJ286" t="s">
        <v>1868</v>
      </c>
      <c r="BN286" s="278" t="s">
        <v>2033</v>
      </c>
      <c r="BO286" s="63"/>
      <c r="BP286" s="63"/>
      <c r="BQ286" s="171">
        <v>20383.300000000007</v>
      </c>
      <c r="BR286" s="239" t="s">
        <v>4696</v>
      </c>
      <c r="BS286" t="s">
        <v>1868</v>
      </c>
    </row>
    <row r="287" spans="7:71" ht="18">
      <c r="O287" s="50"/>
      <c r="P287" s="50"/>
      <c r="T287" s="50"/>
      <c r="U287" s="508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1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8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1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1946</v>
      </c>
      <c r="BA288" t="s">
        <v>1869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2445</v>
      </c>
      <c r="BJ288" t="s">
        <v>1869</v>
      </c>
      <c r="BN288" s="278" t="s">
        <v>2032</v>
      </c>
      <c r="BO288" s="63"/>
      <c r="BP288" s="63"/>
      <c r="BQ288" s="171">
        <v>20311.099999999893</v>
      </c>
      <c r="BR288" s="239" t="s">
        <v>4697</v>
      </c>
      <c r="BS288" t="s">
        <v>1869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1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1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1947</v>
      </c>
      <c r="BA290" t="s">
        <v>1870</v>
      </c>
      <c r="BB290" s="18"/>
      <c r="BC290"/>
      <c r="BE290" s="41" t="s">
        <v>2008</v>
      </c>
      <c r="BF290" s="3"/>
      <c r="BG290" s="338"/>
      <c r="BH290" s="171">
        <v>19623.499999999811</v>
      </c>
      <c r="BI290" s="239" t="s">
        <v>2446</v>
      </c>
      <c r="BJ290" t="s">
        <v>1870</v>
      </c>
      <c r="BN290" s="278" t="s">
        <v>2031</v>
      </c>
      <c r="BO290" s="63"/>
      <c r="BP290" s="63"/>
      <c r="BQ290" s="171">
        <v>20073.399999999965</v>
      </c>
      <c r="BR290" s="239" t="s">
        <v>4698</v>
      </c>
      <c r="BS290" t="s">
        <v>1870</v>
      </c>
    </row>
    <row r="291" spans="15:71" ht="18">
      <c r="O291" s="50"/>
      <c r="P291" s="50"/>
      <c r="T291" s="50"/>
      <c r="U291" s="508"/>
      <c r="V291" s="50"/>
      <c r="W291" s="50"/>
      <c r="X291" s="335"/>
      <c r="Y291" s="50"/>
      <c r="Z291" s="50"/>
      <c r="AB291" s="496"/>
      <c r="AG291" s="50"/>
      <c r="AH291" s="18"/>
      <c r="AL291" s="50"/>
      <c r="AM291" s="511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1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1948</v>
      </c>
      <c r="BA292" t="s">
        <v>1871</v>
      </c>
      <c r="BB292" s="18"/>
      <c r="BC292"/>
      <c r="BE292" s="41" t="s">
        <v>2007</v>
      </c>
      <c r="BF292" s="3"/>
      <c r="BG292" s="338"/>
      <c r="BH292" s="171">
        <v>17329.299999999996</v>
      </c>
      <c r="BI292" s="239" t="s">
        <v>2447</v>
      </c>
      <c r="BJ292" t="s">
        <v>1871</v>
      </c>
      <c r="BN292" s="278" t="s">
        <v>2029</v>
      </c>
      <c r="BO292" s="63"/>
      <c r="BP292" s="63"/>
      <c r="BQ292" s="171">
        <v>20032.000000000062</v>
      </c>
      <c r="BR292" s="239" t="s">
        <v>4699</v>
      </c>
      <c r="BS292" t="s">
        <v>1871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1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8"/>
      <c r="V294" s="50"/>
      <c r="W294" s="50"/>
      <c r="X294" s="335"/>
      <c r="Y294" s="50"/>
      <c r="Z294" s="50"/>
      <c r="AB294" s="50"/>
      <c r="AG294" s="50"/>
      <c r="AH294" s="18"/>
      <c r="AL294" s="50"/>
      <c r="AM294" s="511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1949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2448</v>
      </c>
      <c r="BJ294" t="s">
        <v>1872</v>
      </c>
      <c r="BN294" s="278" t="s">
        <v>2034</v>
      </c>
      <c r="BO294" s="63"/>
      <c r="BP294" s="63"/>
      <c r="BQ294" s="171">
        <v>18661.19999999995</v>
      </c>
      <c r="BR294" s="239" t="s">
        <v>4700</v>
      </c>
      <c r="BS294" t="s">
        <v>1872</v>
      </c>
    </row>
    <row r="295" spans="15:71" ht="18">
      <c r="O295" s="50"/>
      <c r="P295" s="50"/>
      <c r="T295" s="50"/>
      <c r="U295" s="458"/>
      <c r="V295" s="50"/>
      <c r="W295" s="50"/>
      <c r="X295" s="335"/>
      <c r="Y295" s="50"/>
      <c r="Z295" s="50"/>
      <c r="AB295" s="50"/>
      <c r="AG295" s="50"/>
      <c r="AH295" s="18"/>
      <c r="AL295" s="50"/>
      <c r="AM295" s="511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1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2449</v>
      </c>
      <c r="BJ296" s="3" t="s">
        <v>2402</v>
      </c>
      <c r="BN296" s="278" t="s">
        <v>2054</v>
      </c>
      <c r="BO296" s="63"/>
      <c r="BP296" s="63"/>
      <c r="BQ296" s="171">
        <v>17630.999999999989</v>
      </c>
      <c r="BR296" s="239" t="s">
        <v>4701</v>
      </c>
      <c r="BS296" s="3" t="s">
        <v>2402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1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1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2450</v>
      </c>
      <c r="BJ298" s="3" t="s">
        <v>2403</v>
      </c>
      <c r="BN298" s="278" t="s">
        <v>2028</v>
      </c>
      <c r="BO298" s="63"/>
      <c r="BP298" s="63"/>
      <c r="BQ298" s="171">
        <v>15996.699999999988</v>
      </c>
      <c r="BR298" s="239" t="s">
        <v>4702</v>
      </c>
      <c r="BS298" s="3" t="s">
        <v>2403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1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1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2451</v>
      </c>
      <c r="BJ300" s="3" t="s">
        <v>2404</v>
      </c>
      <c r="BN300" s="278" t="s">
        <v>2057</v>
      </c>
      <c r="BO300" s="63"/>
      <c r="BP300" s="63"/>
      <c r="BQ300" s="171">
        <v>15300.000000000095</v>
      </c>
      <c r="BR300" s="239" t="s">
        <v>4703</v>
      </c>
      <c r="BS300" s="3" t="s">
        <v>2404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1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1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2452</v>
      </c>
      <c r="BJ302" s="3" t="s">
        <v>2405</v>
      </c>
      <c r="BN302" s="278" t="s">
        <v>2008</v>
      </c>
      <c r="BO302" s="213"/>
      <c r="BP302" s="63"/>
      <c r="BQ302" s="171">
        <v>14912.324999999861</v>
      </c>
      <c r="BR302" s="239" t="s">
        <v>4704</v>
      </c>
      <c r="BS302" s="3" t="s">
        <v>2405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1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1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1931</v>
      </c>
      <c r="BJ304" s="3" t="s">
        <v>2406</v>
      </c>
      <c r="BN304" s="278" t="s">
        <v>2056</v>
      </c>
      <c r="BO304" s="63"/>
      <c r="BP304" s="63"/>
      <c r="BQ304" s="171">
        <v>14828.250000000113</v>
      </c>
      <c r="BR304" s="239" t="s">
        <v>4705</v>
      </c>
      <c r="BS304" s="3" t="s">
        <v>2406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1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1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2453</v>
      </c>
      <c r="BJ306" s="3" t="s">
        <v>2407</v>
      </c>
      <c r="BN306" s="278" t="s">
        <v>2030</v>
      </c>
      <c r="BO306" s="63"/>
      <c r="BP306" s="63"/>
      <c r="BQ306" s="171">
        <v>14402.500000000065</v>
      </c>
      <c r="BR306" s="239" t="s">
        <v>4706</v>
      </c>
      <c r="BS306" s="3" t="s">
        <v>2407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1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1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2454</v>
      </c>
      <c r="BJ308" s="3" t="s">
        <v>2408</v>
      </c>
      <c r="BN308" s="278" t="s">
        <v>29</v>
      </c>
      <c r="BO308" s="103"/>
      <c r="BP308" s="63"/>
      <c r="BQ308" s="171">
        <v>13427.962499999976</v>
      </c>
      <c r="BR308" s="239" t="s">
        <v>4707</v>
      </c>
      <c r="BS308" s="3" t="s">
        <v>2408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1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3125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1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2455</v>
      </c>
      <c r="BJ310" s="3" t="s">
        <v>2409</v>
      </c>
      <c r="BN310" s="63" t="s">
        <v>744</v>
      </c>
      <c r="BO310" s="103"/>
      <c r="BP310" s="63"/>
      <c r="BQ310" s="171">
        <v>13191.737499999999</v>
      </c>
      <c r="BR310" s="239" t="s">
        <v>4708</v>
      </c>
      <c r="BS310" s="3" t="s">
        <v>2409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1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1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2410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4709</v>
      </c>
      <c r="BS312" s="3" t="s">
        <v>4716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1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1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2445</v>
      </c>
      <c r="BS314" s="3" t="s">
        <v>4717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1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1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4710</v>
      </c>
      <c r="BS316" s="3" t="s">
        <v>4718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1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1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4711</v>
      </c>
      <c r="BS318" s="3" t="s">
        <v>4719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1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1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2448</v>
      </c>
      <c r="BS320" s="3" t="s">
        <v>4720</v>
      </c>
    </row>
    <row r="321" spans="20:71" ht="18" customHeight="1">
      <c r="T321" s="50"/>
      <c r="U321" s="28"/>
      <c r="V321" s="50"/>
      <c r="W321" s="507"/>
      <c r="AB321" s="50"/>
      <c r="AG321" s="50"/>
      <c r="AH321" s="18"/>
      <c r="AL321" s="50"/>
      <c r="AM321" s="511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7"/>
      <c r="AB322" s="50"/>
      <c r="AG322" s="50"/>
      <c r="AH322" s="18"/>
      <c r="AL322" s="50"/>
      <c r="AM322" s="511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4712</v>
      </c>
      <c r="BS322" s="3" t="s">
        <v>4721</v>
      </c>
    </row>
    <row r="323" spans="20:71" ht="18" customHeight="1">
      <c r="T323" s="50"/>
      <c r="U323" s="28"/>
      <c r="V323" s="50"/>
      <c r="W323" s="507"/>
      <c r="AB323" s="50"/>
      <c r="AG323" s="50"/>
      <c r="AH323" s="18"/>
      <c r="AL323" s="50"/>
      <c r="AM323" s="511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7"/>
      <c r="AB324" s="50"/>
      <c r="AG324" s="50"/>
      <c r="AH324" s="18"/>
      <c r="AL324" s="50"/>
      <c r="AM324" s="511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2450</v>
      </c>
      <c r="BS324" s="3" t="s">
        <v>4722</v>
      </c>
    </row>
    <row r="325" spans="20:71" ht="18" customHeight="1">
      <c r="AB325" s="50"/>
      <c r="AG325" s="50"/>
      <c r="AH325" s="18"/>
      <c r="AL325" s="50"/>
      <c r="AM325" s="511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1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4713</v>
      </c>
      <c r="BS326" s="3" t="s">
        <v>4723</v>
      </c>
    </row>
    <row r="327" spans="20:71" ht="18" customHeight="1">
      <c r="AB327" s="50"/>
      <c r="AG327" s="50"/>
      <c r="AH327" s="18"/>
      <c r="AL327" s="50"/>
      <c r="AM327" s="511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1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2452</v>
      </c>
      <c r="BS328" s="3" t="s">
        <v>4724</v>
      </c>
    </row>
    <row r="329" spans="20:71" ht="18" customHeight="1">
      <c r="AB329" s="50"/>
      <c r="AG329" s="50"/>
      <c r="AH329" s="18"/>
      <c r="AL329" s="50"/>
      <c r="AM329" s="511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1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4714</v>
      </c>
      <c r="BS330" s="3" t="s">
        <v>4725</v>
      </c>
    </row>
    <row r="331" spans="20:71" ht="18" customHeight="1">
      <c r="AB331" s="50"/>
      <c r="AG331" s="50"/>
      <c r="AH331" s="18"/>
      <c r="AL331" s="50"/>
      <c r="AM331" s="511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1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1931</v>
      </c>
      <c r="BS332" s="3" t="s">
        <v>4726</v>
      </c>
    </row>
    <row r="333" spans="20:71" ht="18" customHeight="1">
      <c r="AB333" s="50"/>
      <c r="AG333" s="50"/>
      <c r="AH333" s="18"/>
      <c r="AL333" s="50"/>
      <c r="AM333" s="511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1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1891</v>
      </c>
      <c r="BS334" s="3" t="s">
        <v>4727</v>
      </c>
    </row>
    <row r="335" spans="20:71" ht="18" customHeight="1">
      <c r="AL335" s="50"/>
      <c r="AM335" s="511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1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4715</v>
      </c>
      <c r="BS336" s="59"/>
    </row>
    <row r="337" spans="38:62" ht="18" customHeight="1">
      <c r="AL337" s="50"/>
      <c r="AM337" s="511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1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1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1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1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1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1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1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1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1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1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1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1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1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1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1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1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1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1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1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1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1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1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1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1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1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1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1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1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1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1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1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1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1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1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1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1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1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1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1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1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1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1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1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1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1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1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1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1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1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1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AH81" activePane="bottomRight" state="frozen"/>
      <selection pane="topRight" activeCell="E1" sqref="E1"/>
      <selection pane="bottomLeft" activeCell="A3" sqref="A3"/>
      <selection pane="bottomRight" activeCell="BQ3" sqref="BQ3:BV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2881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3386</v>
      </c>
      <c r="D3" s="57">
        <f>SUM(E3:HQ3)</f>
        <v>2219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2014</v>
      </c>
      <c r="D4" s="57">
        <f>SUM(E4:HQ4)</f>
        <v>2141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2937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2007</v>
      </c>
      <c r="D6" s="57">
        <f>SUM(E6:HQ6)</f>
        <v>2006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2477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2703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3375</v>
      </c>
      <c r="D9" s="57">
        <f>SUM(E9:HQ9)</f>
        <v>2802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1762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2027</v>
      </c>
      <c r="D11" s="57">
        <f>SUM(E11:HQ11)</f>
        <v>2505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3394</v>
      </c>
      <c r="D12" s="57">
        <f>SUM(E12:HQ12)</f>
        <v>2624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2928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2687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2057</v>
      </c>
      <c r="D15" s="57">
        <f>SUM(E15:HQ15)</f>
        <v>2278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1855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2010</v>
      </c>
      <c r="D17" s="57">
        <f>SUM(E17:HQ17)</f>
        <v>3032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3376</v>
      </c>
      <c r="D18" s="57">
        <f>SUM(E18:HQ18)</f>
        <v>1787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2953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2028</v>
      </c>
      <c r="D20" s="57">
        <f>SUM(E20:HQ20)</f>
        <v>2854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3379</v>
      </c>
      <c r="D21" s="57">
        <f>SUM(E21:HQ21)</f>
        <v>2202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3393</v>
      </c>
      <c r="D22" s="57">
        <f>SUM(E22:HQ22)</f>
        <v>2555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2611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2022</v>
      </c>
      <c r="D24" s="57">
        <f>SUM(E24:HQ24)</f>
        <v>2954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2663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3377</v>
      </c>
      <c r="D26" s="57">
        <f>SUM(E26:HQ26)</f>
        <v>2149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2029</v>
      </c>
      <c r="D27" s="57">
        <f>SUM(E27:HQ27)</f>
        <v>2176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2710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2492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2015</v>
      </c>
      <c r="D30" s="57">
        <f>SUM(E30:HQ30)</f>
        <v>2646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3387</v>
      </c>
      <c r="D31" s="57">
        <f>SUM(E31:HQ31)</f>
        <v>2592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2854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2008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2402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2446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3402</v>
      </c>
      <c r="D36" s="57">
        <f>SUM(E36:HQ36)</f>
        <v>2715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2011</v>
      </c>
      <c r="D37" s="57">
        <f>SUM(E37:HQ37)</f>
        <v>2200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2564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2593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2944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3381</v>
      </c>
      <c r="D41" s="57">
        <f>SUM(E41:HQ41)</f>
        <v>2803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3406</v>
      </c>
      <c r="D42" s="57">
        <f>SUM(E42:HQ42)</f>
        <v>2609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3384</v>
      </c>
      <c r="D43" s="57">
        <f>SUM(E43:HQ43)</f>
        <v>2392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2643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3380</v>
      </c>
      <c r="D45" s="57">
        <f>SUM(E45:HQ45)</f>
        <v>2456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2816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4520</v>
      </c>
      <c r="D47" s="57">
        <f>SUM(E47:HQ47)</f>
        <v>2776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2338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2918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2421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3373</v>
      </c>
      <c r="D51" s="57">
        <f>SUM(E51:HQ51)</f>
        <v>2568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2030</v>
      </c>
      <c r="D52" s="57">
        <f>SUM(E52:HQ52)</f>
        <v>2058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3383</v>
      </c>
      <c r="D53" s="57">
        <f>SUM(E53:HQ53)</f>
        <v>2931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2031</v>
      </c>
      <c r="D54" s="57">
        <f>SUM(E54:HQ54)</f>
        <v>2924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1919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3106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3382</v>
      </c>
      <c r="D57" s="57">
        <f>SUM(E57:HQ57)</f>
        <v>2674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3389</v>
      </c>
      <c r="D58" s="57">
        <f>SUM(E58:HQ58)</f>
        <v>2138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2445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2602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2852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2855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3099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3378</v>
      </c>
      <c r="D64" s="57">
        <f>SUM(E64:HQ64)</f>
        <v>2518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2743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1975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2627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2660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3390</v>
      </c>
      <c r="D69" s="57">
        <f>SUM(E69:HQ69)</f>
        <v>3399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2488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2886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2710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2350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3405</v>
      </c>
      <c r="D74" s="57">
        <f>SUM(E74:HQ74)</f>
        <v>2175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2231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2054</v>
      </c>
      <c r="D76" s="57">
        <f>SUM(E76:HQ76)</f>
        <v>2078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3115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2483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2056</v>
      </c>
      <c r="D79" s="57">
        <f>SUM(E79:HQ79)</f>
        <v>1662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2161</v>
      </c>
      <c r="D80" s="57">
        <f>SUM(E80:HQ80)</f>
        <v>2615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3385</v>
      </c>
      <c r="D81" s="57">
        <f>SUM(E81:HQ81)</f>
        <v>2170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2473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3388</v>
      </c>
      <c r="D83" s="57">
        <f>SUM(E83:HQ83)</f>
        <v>2236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X83" s="79"/>
      <c r="BZ83" s="75"/>
      <c r="CH83" s="3"/>
      <c r="CI83" s="3"/>
      <c r="CJ83" s="79"/>
      <c r="CK83" s="137"/>
    </row>
    <row r="84" spans="1:187" ht="15.75">
      <c r="A84" s="278" t="s">
        <v>2006</v>
      </c>
      <c r="D84" s="57">
        <f>SUM(E84:HQ84)</f>
        <v>2441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X84" s="79"/>
      <c r="BZ84" s="75"/>
      <c r="CH84" s="3"/>
      <c r="CI84" s="3"/>
      <c r="CJ84" s="79"/>
      <c r="CK84" s="137"/>
    </row>
    <row r="85" spans="1:187" ht="15.75">
      <c r="A85" s="63" t="s">
        <v>3407</v>
      </c>
      <c r="D85" s="57">
        <f>SUM(E85:HQ85)</f>
        <v>2624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2930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X86" s="40"/>
      <c r="BZ86" s="75"/>
      <c r="CH86" s="3"/>
      <c r="CI86" s="3"/>
      <c r="CJ86" s="79"/>
      <c r="CK86" s="137"/>
    </row>
    <row r="87" spans="1:187" ht="15.75">
      <c r="A87" s="63" t="s">
        <v>790</v>
      </c>
      <c r="B87" s="63"/>
      <c r="C87" s="289"/>
      <c r="D87" s="57">
        <f>SUM(E87:HQ87)</f>
        <v>2992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X87" s="40"/>
      <c r="BZ87" s="75"/>
      <c r="CH87" s="226"/>
      <c r="CI87" s="40"/>
      <c r="CJ87" s="40"/>
      <c r="CK87" s="175"/>
    </row>
    <row r="88" spans="1:187" ht="15.75">
      <c r="A88" s="63" t="s">
        <v>3391</v>
      </c>
      <c r="B88" s="63"/>
      <c r="C88" s="288"/>
      <c r="D88" s="57">
        <f>SUM(E88:HQ88)</f>
        <v>2632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X88" s="79"/>
      <c r="BZ88" s="75"/>
      <c r="CH88" s="226"/>
      <c r="CI88" s="40"/>
      <c r="CJ88" s="40"/>
      <c r="CK88" s="175"/>
    </row>
    <row r="89" spans="1:187" ht="15.75">
      <c r="A89" s="63" t="s">
        <v>755</v>
      </c>
      <c r="B89" s="3"/>
      <c r="C89" s="289"/>
      <c r="D89" s="57">
        <f>SUM(E89:HQ89)</f>
        <v>2368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X89" s="79"/>
      <c r="BZ89" s="75"/>
      <c r="CH89" s="3"/>
      <c r="CI89" s="3"/>
      <c r="CJ89" s="79"/>
      <c r="CK89" s="137"/>
    </row>
    <row r="90" spans="1:187" ht="15.75">
      <c r="A90" s="63" t="s">
        <v>782</v>
      </c>
      <c r="B90" s="63"/>
      <c r="C90" s="289"/>
      <c r="D90" s="57">
        <f>SUM(E90:HQ90)</f>
        <v>1962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3011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2944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2904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X93" s="40"/>
      <c r="BZ93" s="75"/>
      <c r="CH93" s="226"/>
      <c r="CI93" s="40"/>
      <c r="CJ93" s="40"/>
      <c r="CK93" s="175"/>
    </row>
    <row r="94" spans="1:187" ht="15.75">
      <c r="A94" s="219" t="s">
        <v>1662</v>
      </c>
      <c r="B94" s="3"/>
      <c r="C94" s="289"/>
      <c r="D94" s="57">
        <f>SUM(E94:HQ94)</f>
        <v>3002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X94" s="40"/>
      <c r="BZ94" s="75"/>
      <c r="CH94" s="226"/>
      <c r="CI94" s="40"/>
      <c r="CJ94" s="40"/>
      <c r="CK94" s="175"/>
    </row>
    <row r="95" spans="1:187" ht="15.75">
      <c r="A95" s="278" t="s">
        <v>2034</v>
      </c>
      <c r="B95" s="63"/>
      <c r="C95" s="288"/>
      <c r="D95" s="57">
        <f>SUM(E95:HQ95)</f>
        <v>2027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2356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X96" s="40"/>
      <c r="BZ96" s="75"/>
      <c r="CH96" s="226"/>
      <c r="CI96" s="40"/>
      <c r="CJ96" s="40"/>
      <c r="CK96" s="175"/>
    </row>
    <row r="97" spans="1:89" ht="15.75">
      <c r="A97" s="63" t="s">
        <v>3403</v>
      </c>
      <c r="B97" s="63"/>
      <c r="C97" s="289"/>
      <c r="D97" s="57">
        <f>SUM(E97:HQ97)</f>
        <v>2131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X97" s="79"/>
      <c r="BZ97" s="75"/>
      <c r="CH97" s="226"/>
      <c r="CI97" s="40"/>
      <c r="CJ97" s="40"/>
      <c r="CK97" s="175"/>
    </row>
    <row r="98" spans="1:89" ht="15.75">
      <c r="A98" s="219" t="s">
        <v>1659</v>
      </c>
      <c r="B98" s="63"/>
      <c r="C98" s="288"/>
      <c r="D98" s="57">
        <f>SUM(E98:HQ98)</f>
        <v>2896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2970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X99" s="79"/>
      <c r="BZ99" s="75"/>
      <c r="CH99" s="60"/>
      <c r="CI99" s="3"/>
      <c r="CJ99" s="79"/>
      <c r="CK99" s="137"/>
    </row>
    <row r="100" spans="1:89" ht="15.75">
      <c r="A100" s="63" t="s">
        <v>753</v>
      </c>
      <c r="B100" s="63"/>
      <c r="C100" s="288"/>
      <c r="D100" s="57">
        <f>SUM(E100:HQ100)</f>
        <v>2220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X100" s="79"/>
      <c r="BZ100" s="75"/>
      <c r="CH100" s="3"/>
      <c r="CI100" s="3"/>
      <c r="CJ100" s="79"/>
      <c r="CK100" s="137"/>
    </row>
    <row r="101" spans="1:89" ht="15.75">
      <c r="A101" s="278" t="s">
        <v>3374</v>
      </c>
      <c r="B101" s="3"/>
      <c r="C101" s="289"/>
      <c r="D101" s="57">
        <f>SUM(E101:HQ101)</f>
        <v>2478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X101" s="79"/>
      <c r="BZ101" s="75"/>
      <c r="CH101" s="3"/>
      <c r="CI101" s="3"/>
      <c r="CJ101" s="79"/>
      <c r="CK101" s="137"/>
    </row>
    <row r="102" spans="1:89" ht="15.75">
      <c r="A102" s="278" t="s">
        <v>2012</v>
      </c>
      <c r="B102" s="3"/>
      <c r="C102" s="289"/>
      <c r="D102" s="57">
        <f>SUM(E102:HQ102)</f>
        <v>3087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BQ3:BW102">
    <sortCondition ref="BQ3:BQ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1760" zoomScaleNormal="100" workbookViewId="0">
      <selection activeCell="B1752" sqref="B1752:S1879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3102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3101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2471</v>
      </c>
      <c r="R15" s="3"/>
      <c r="T15" s="219"/>
      <c r="U15" s="63"/>
      <c r="V15" s="289"/>
      <c r="W15" s="338"/>
      <c r="X15" s="63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X16" s="63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63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X18" s="63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W19" s="338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2011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3406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4520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3381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2029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3379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3394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3378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2027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2028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3403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3376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2031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3390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2054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3385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3382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3375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2161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2014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3374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2010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2006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3393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3380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2015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2022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3402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2012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2007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2505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3323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3324</v>
      </c>
      <c r="B112" s="63" t="s">
        <v>3388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3325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3326</v>
      </c>
      <c r="B114" s="278" t="s">
        <v>2030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3327</v>
      </c>
      <c r="B115" s="63" t="s">
        <v>3407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3328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3329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3330</v>
      </c>
      <c r="B118" s="63" t="s">
        <v>3386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3331</v>
      </c>
      <c r="B119" s="278" t="s">
        <v>3373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3332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3333</v>
      </c>
      <c r="B121" s="63" t="s">
        <v>3387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3334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3335</v>
      </c>
      <c r="B123" s="63" t="s">
        <v>3377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3336</v>
      </c>
      <c r="B124" s="63" t="s">
        <v>3391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3337</v>
      </c>
      <c r="B125" s="63" t="s">
        <v>3389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3338</v>
      </c>
      <c r="B126" s="63" t="s">
        <v>3383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3339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3340</v>
      </c>
      <c r="B128" s="63" t="s">
        <v>3384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3341</v>
      </c>
      <c r="B129" s="278" t="s">
        <v>2057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3342</v>
      </c>
      <c r="B130" s="278" t="s">
        <v>2034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3343</v>
      </c>
      <c r="B131" s="63" t="s">
        <v>3405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3344</v>
      </c>
      <c r="B132" s="278" t="s">
        <v>2056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3345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3346</v>
      </c>
      <c r="B134" s="278" t="s">
        <v>2013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4138</v>
      </c>
      <c r="B135" s="278" t="s">
        <v>2008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4139</v>
      </c>
      <c r="B136" s="278" t="s">
        <v>2032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4140</v>
      </c>
      <c r="B137" s="278" t="s">
        <v>2033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2470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2011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3385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3393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3391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2015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2030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3379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3373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2029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4520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3378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3383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3375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2027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3377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2028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2031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2012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3402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3387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3376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2006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3374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3386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3382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3381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2010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2505</v>
      </c>
      <c r="B244" s="63" t="s">
        <v>3394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3323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3324</v>
      </c>
      <c r="B246" s="278" t="s">
        <v>2161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3325</v>
      </c>
      <c r="B247" s="63" t="s">
        <v>3380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3326</v>
      </c>
      <c r="B248" s="63" t="s">
        <v>3403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3327</v>
      </c>
      <c r="B249" s="63" t="s">
        <v>3407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3328</v>
      </c>
      <c r="B250" s="278" t="s">
        <v>2007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3329</v>
      </c>
      <c r="B251" s="278" t="s">
        <v>2014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3330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3331</v>
      </c>
      <c r="B253" s="63" t="s">
        <v>3384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3332</v>
      </c>
      <c r="B254" s="63" t="s">
        <v>3390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3333</v>
      </c>
      <c r="B255" s="63" t="s">
        <v>3388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3334</v>
      </c>
      <c r="B256" s="278" t="s">
        <v>2057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3335</v>
      </c>
      <c r="B257" s="278" t="s">
        <v>2054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3336</v>
      </c>
      <c r="B258" s="278" t="s">
        <v>2034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3337</v>
      </c>
      <c r="B259" s="278" t="s">
        <v>2056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3338</v>
      </c>
      <c r="B260" s="63" t="s">
        <v>3405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3339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3340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3341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3342</v>
      </c>
      <c r="B264" s="278" t="s">
        <v>2022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3343</v>
      </c>
      <c r="B265" s="63" t="s">
        <v>3406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3344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3345</v>
      </c>
      <c r="B267" s="278" t="s">
        <v>2013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3346</v>
      </c>
      <c r="B268" s="278" t="s">
        <v>2008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4138</v>
      </c>
      <c r="B269" s="63" t="s">
        <v>3389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4139</v>
      </c>
      <c r="B270" s="278" t="s">
        <v>2032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4140</v>
      </c>
      <c r="B271" s="278" t="s">
        <v>2033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4901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4900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2457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4902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2006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2022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2010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2011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2015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2012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2014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4520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2027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2054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2030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2013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2034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2161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2031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2029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3403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2057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2033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3394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3386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3393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3387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2028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2007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3378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2056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3388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3405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3380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3406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2505</v>
      </c>
      <c r="B378" s="63" t="s">
        <v>3377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3323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3324</v>
      </c>
      <c r="B380" s="63" t="s">
        <v>3383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3325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3326</v>
      </c>
      <c r="B382" s="63" t="s">
        <v>3379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3327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3328</v>
      </c>
      <c r="B384" s="63" t="s">
        <v>3381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3329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3330</v>
      </c>
      <c r="B386" s="63" t="s">
        <v>3390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3331</v>
      </c>
      <c r="B387" s="63" t="s">
        <v>3375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3332</v>
      </c>
      <c r="B388" s="63" t="s">
        <v>3382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3333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3334</v>
      </c>
      <c r="B390" s="63" t="s">
        <v>3402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3335</v>
      </c>
      <c r="B391" s="63" t="s">
        <v>3389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3336</v>
      </c>
      <c r="B392" s="278" t="s">
        <v>2008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3337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3338</v>
      </c>
      <c r="B394" s="63" t="s">
        <v>3385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3339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3340</v>
      </c>
      <c r="B396" s="63" t="s">
        <v>3376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3341</v>
      </c>
      <c r="B397" s="278" t="s">
        <v>2032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3342</v>
      </c>
      <c r="B398" s="63" t="s">
        <v>3407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3343</v>
      </c>
      <c r="B399" s="278" t="s">
        <v>3373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3344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3345</v>
      </c>
      <c r="B401" s="63" t="s">
        <v>3391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3346</v>
      </c>
      <c r="B402" s="63" t="s">
        <v>3384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4138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4139</v>
      </c>
      <c r="B404" s="278" t="s">
        <v>3374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4140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3144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2459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2531</v>
      </c>
      <c r="R414" s="3"/>
      <c r="S414" s="216" t="s">
        <v>2532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4864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4863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2458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2011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2034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2010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4520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2015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2013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2007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2012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3391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2029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2161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2022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2031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3373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3374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3383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3389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3405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3381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2027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2028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2054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3407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3390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2030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3380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3382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2006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3394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3384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3403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2505</v>
      </c>
      <c r="B512" s="278" t="s">
        <v>2056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3323</v>
      </c>
      <c r="B513" s="63" t="s">
        <v>3387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3324</v>
      </c>
      <c r="B514" s="278" t="s">
        <v>2057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3325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3326</v>
      </c>
      <c r="B516" s="278" t="s">
        <v>2014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3327</v>
      </c>
      <c r="B517" s="63" t="s">
        <v>3402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3328</v>
      </c>
      <c r="B518" s="63" t="s">
        <v>3379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3329</v>
      </c>
      <c r="B519" s="63" t="s">
        <v>3386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3330</v>
      </c>
      <c r="B520" s="63" t="s">
        <v>3377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3331</v>
      </c>
      <c r="B521" s="63" t="s">
        <v>3378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3332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3333</v>
      </c>
      <c r="B523" s="63" t="s">
        <v>3393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3334</v>
      </c>
      <c r="B524" s="63" t="s">
        <v>3406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3335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3336</v>
      </c>
      <c r="B526" s="278" t="s">
        <v>2032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3337</v>
      </c>
      <c r="B527" s="63" t="s">
        <v>3388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3338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3339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3340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3341</v>
      </c>
      <c r="B531" s="63" t="s">
        <v>3375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3342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3343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3344</v>
      </c>
      <c r="B534" s="63" t="s">
        <v>3385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3345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3346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4138</v>
      </c>
      <c r="B537" s="278" t="s">
        <v>2008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4139</v>
      </c>
      <c r="B538" s="278" t="s">
        <v>2033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4140</v>
      </c>
      <c r="B539" s="63" t="s">
        <v>3376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4948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2460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2614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2535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2022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2012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2006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2014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2010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2013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2015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2054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2007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2011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2029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2027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2034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2030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2057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2008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4520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2031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3389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2161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3377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3391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2056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3390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2028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3407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3393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3379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3405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2505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3323</v>
      </c>
      <c r="B647" s="278" t="s">
        <v>2033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3324</v>
      </c>
      <c r="B648" s="63" t="s">
        <v>3387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3325</v>
      </c>
      <c r="B649" s="63" t="s">
        <v>3406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3326</v>
      </c>
      <c r="B650" s="63" t="s">
        <v>3382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3327</v>
      </c>
      <c r="B651" s="278" t="s">
        <v>3373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3328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3329</v>
      </c>
      <c r="B653" s="63" t="s">
        <v>3394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3330</v>
      </c>
      <c r="B654" s="63" t="s">
        <v>3381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3331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3332</v>
      </c>
      <c r="B656" s="278" t="s">
        <v>2032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3333</v>
      </c>
      <c r="B657" s="63" t="s">
        <v>3375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3334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3335</v>
      </c>
      <c r="B659" s="63" t="s">
        <v>3403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3336</v>
      </c>
      <c r="B660" s="63" t="s">
        <v>3402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3337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3338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3339</v>
      </c>
      <c r="B663" s="63" t="s">
        <v>3383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3340</v>
      </c>
      <c r="B664" s="63" t="s">
        <v>3380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3341</v>
      </c>
      <c r="B665" s="278" t="s">
        <v>3374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3342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3343</v>
      </c>
      <c r="B667" s="63" t="s">
        <v>3386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3344</v>
      </c>
      <c r="B668" s="63" t="s">
        <v>3376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3345</v>
      </c>
      <c r="B669" s="63" t="s">
        <v>3384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3346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4138</v>
      </c>
      <c r="B671" s="63" t="s">
        <v>3378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4139</v>
      </c>
      <c r="B672" s="63" t="s">
        <v>3385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4140</v>
      </c>
      <c r="B673" s="63" t="s">
        <v>3388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2461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2462</v>
      </c>
      <c r="S681" s="21" t="s">
        <v>2463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2548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4953</v>
      </c>
      <c r="S684" s="21" t="s">
        <v>2463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2464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2465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2469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2010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2012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2022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2006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2015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2028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2031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2027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2029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4520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2014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2007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2034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2011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2057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2054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2030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2013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2161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3402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3403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3382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3388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3394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3406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3375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3390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3407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3383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2032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3385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2505</v>
      </c>
      <c r="B780" s="278" t="s">
        <v>2056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3323</v>
      </c>
      <c r="B781" s="63" t="s">
        <v>3384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3324</v>
      </c>
      <c r="B782" s="63" t="s">
        <v>3389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3325</v>
      </c>
      <c r="B783" s="63" t="s">
        <v>3381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3326</v>
      </c>
      <c r="B784" s="63" t="s">
        <v>3393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3327</v>
      </c>
      <c r="B785" s="63" t="s">
        <v>3376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3328</v>
      </c>
      <c r="B786" s="278" t="s">
        <v>3374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3329</v>
      </c>
      <c r="B787" s="278" t="s">
        <v>2033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3330</v>
      </c>
      <c r="B788" s="278" t="s">
        <v>2008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3331</v>
      </c>
      <c r="B789" s="63" t="s">
        <v>3380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3332</v>
      </c>
      <c r="B790" s="278" t="s">
        <v>3373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3333</v>
      </c>
      <c r="B791" s="63" t="s">
        <v>3377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3334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3335</v>
      </c>
      <c r="B793" s="63" t="s">
        <v>3378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3336</v>
      </c>
      <c r="B794" s="63" t="s">
        <v>3405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3337</v>
      </c>
      <c r="B795" s="63" t="s">
        <v>3379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3338</v>
      </c>
      <c r="B796" s="63" t="s">
        <v>3387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3339</v>
      </c>
      <c r="B797" s="63" t="s">
        <v>3391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3340</v>
      </c>
      <c r="B798" s="63" t="s">
        <v>3386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3341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3342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3343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3344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3345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3346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4138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4139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4140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2551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2467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2550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2764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2468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2466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4956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2469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2006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2012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2010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2022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2015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2014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2013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2011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2027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2007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2161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2031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4520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2034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2029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2030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2033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2032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2056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2057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3393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3385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3394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2054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3406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3375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3388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2008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3402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2505</v>
      </c>
      <c r="B914" s="278" t="s">
        <v>2028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3323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3324</v>
      </c>
      <c r="B916" s="63" t="s">
        <v>3383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3325</v>
      </c>
      <c r="B917" s="63" t="s">
        <v>3405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3326</v>
      </c>
      <c r="B918" s="63" t="s">
        <v>3378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3327</v>
      </c>
      <c r="B919" s="278" t="s">
        <v>3373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3328</v>
      </c>
      <c r="B920" s="63" t="s">
        <v>3380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3329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3330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3331</v>
      </c>
      <c r="B923" s="63" t="s">
        <v>3387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3332</v>
      </c>
      <c r="B924" s="63" t="s">
        <v>3403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3333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3334</v>
      </c>
      <c r="B926" s="63" t="s">
        <v>3407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3335</v>
      </c>
      <c r="B927" s="63" t="s">
        <v>3379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3336</v>
      </c>
      <c r="B928" s="63" t="s">
        <v>3390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3337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3338</v>
      </c>
      <c r="B930" s="63" t="s">
        <v>3386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3339</v>
      </c>
      <c r="B931" s="63" t="s">
        <v>3382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3340</v>
      </c>
      <c r="B932" s="63" t="s">
        <v>3377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3341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3342</v>
      </c>
      <c r="B934" s="63" t="s">
        <v>3384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3343</v>
      </c>
      <c r="B935" s="63" t="s">
        <v>3381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3344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3345</v>
      </c>
      <c r="B937" s="63" t="s">
        <v>3376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3346</v>
      </c>
      <c r="B938" s="63" t="s">
        <v>3391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4138</v>
      </c>
      <c r="B939" s="63" t="s">
        <v>3389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4139</v>
      </c>
      <c r="B940" s="278" t="s">
        <v>3374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4140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2470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2497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2476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2564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2010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2012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2022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2006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2015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2029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2011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2027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2013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2007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2014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2028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2034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2031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2030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3380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3391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3389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2161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2057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3378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3390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3407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3383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3405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2054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3402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3406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3382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3393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3385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2505</v>
      </c>
      <c r="B1048" s="63" t="s">
        <v>3381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3323</v>
      </c>
      <c r="B1049" s="63" t="s">
        <v>3403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3324</v>
      </c>
      <c r="B1050" s="278" t="s">
        <v>3374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3325</v>
      </c>
      <c r="B1051" s="63" t="s">
        <v>3376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3326</v>
      </c>
      <c r="B1052" s="63" t="s">
        <v>3379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3327</v>
      </c>
      <c r="B1053" s="278" t="s">
        <v>2008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3328</v>
      </c>
      <c r="B1054" s="278" t="s">
        <v>4520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3329</v>
      </c>
      <c r="B1055" s="63" t="s">
        <v>3394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3330</v>
      </c>
      <c r="B1056" s="63" t="s">
        <v>3388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3331</v>
      </c>
      <c r="B1057" s="63" t="s">
        <v>3384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3332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3333</v>
      </c>
      <c r="B1059" s="278" t="s">
        <v>3373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3334</v>
      </c>
      <c r="B1060" s="63" t="s">
        <v>3386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3335</v>
      </c>
      <c r="B1061" s="63" t="s">
        <v>3377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3336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3337</v>
      </c>
      <c r="B1063" s="63" t="s">
        <v>3387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3338</v>
      </c>
      <c r="B1064" s="63" t="s">
        <v>3375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3339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3340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3341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3342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3343</v>
      </c>
      <c r="B1069" s="278" t="s">
        <v>2056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3344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3345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3346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4138</v>
      </c>
      <c r="B1073" s="278" t="s">
        <v>2032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4139</v>
      </c>
      <c r="B1074" s="278" t="s">
        <v>2033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4140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2212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5012</v>
      </c>
      <c r="S1082" s="3" t="s">
        <v>5016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2570</v>
      </c>
      <c r="S1083" s="216" t="s">
        <v>5017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2471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5013</v>
      </c>
      <c r="S1089" s="216" t="s">
        <v>5017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1839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5018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5011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5018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2012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2010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5019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2006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2161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5018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2013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2011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2022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2031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3383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5018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2034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2029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4520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2007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3394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2014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3388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3407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3393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2015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3382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3380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3390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3376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3381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2027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2054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3386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3405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3389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2008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2030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2028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3384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3403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2505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3323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3324</v>
      </c>
      <c r="B1184" s="278" t="s">
        <v>2033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3325</v>
      </c>
      <c r="B1185" s="63" t="s">
        <v>3391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3326</v>
      </c>
      <c r="B1186" s="278" t="s">
        <v>2032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3327</v>
      </c>
      <c r="B1187" s="63" t="s">
        <v>3402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3328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3329</v>
      </c>
      <c r="B1189" s="278" t="s">
        <v>3374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3330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3331</v>
      </c>
      <c r="B1191" s="63" t="s">
        <v>3387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3332</v>
      </c>
      <c r="B1192" s="278" t="s">
        <v>2056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3333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3334</v>
      </c>
      <c r="B1194" s="63" t="s">
        <v>3406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3335</v>
      </c>
      <c r="B1195" s="63" t="s">
        <v>3378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3336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3337</v>
      </c>
      <c r="B1197" s="278" t="s">
        <v>2057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3338</v>
      </c>
      <c r="B1198" s="63" t="s">
        <v>3377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3339</v>
      </c>
      <c r="B1199" s="63" t="s">
        <v>3379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3340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3341</v>
      </c>
      <c r="B1201" s="63" t="s">
        <v>3375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3342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3343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3344</v>
      </c>
      <c r="B1204" s="278" t="s">
        <v>3373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3345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3346</v>
      </c>
      <c r="B1206" s="63" t="s">
        <v>3385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4138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4139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4140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2211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2580</v>
      </c>
      <c r="S1216" s="3" t="s">
        <v>5035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5038</v>
      </c>
      <c r="S1217" s="3" t="s">
        <v>5036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2581</v>
      </c>
      <c r="S1218" s="216" t="s">
        <v>5034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5034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2582</v>
      </c>
      <c r="S1220" s="3" t="s">
        <v>5035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2472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5037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2014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5037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2010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2006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2022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2012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2015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2057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2007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2161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2030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2029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2027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2031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2056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3379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3394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3393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2034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3402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3375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3378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3387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3406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3385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3405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4520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3380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2011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3377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3383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3390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3382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2054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3388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3403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2505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3323</v>
      </c>
      <c r="B1317" s="278" t="s">
        <v>2033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3324</v>
      </c>
      <c r="B1318" s="278" t="s">
        <v>3373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3325</v>
      </c>
      <c r="B1319" s="63" t="s">
        <v>3391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3326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3327</v>
      </c>
      <c r="B1321" s="278" t="s">
        <v>2013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3328</v>
      </c>
      <c r="B1322" s="278" t="s">
        <v>2028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3329</v>
      </c>
      <c r="B1323" s="63" t="s">
        <v>3376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3330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3331</v>
      </c>
      <c r="B1325" s="63" t="s">
        <v>3386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3332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3333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3334</v>
      </c>
      <c r="B1328" s="278" t="s">
        <v>2032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3335</v>
      </c>
      <c r="B1329" s="63" t="s">
        <v>3389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3336</v>
      </c>
      <c r="B1330" s="63" t="s">
        <v>3384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3337</v>
      </c>
      <c r="B1331" s="63" t="s">
        <v>3381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3338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3339</v>
      </c>
      <c r="B1333" s="278" t="s">
        <v>2008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3340</v>
      </c>
      <c r="B1334" s="63" t="s">
        <v>3407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3341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3342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3343</v>
      </c>
      <c r="B1337" s="278" t="s">
        <v>3374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3344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3345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3346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4138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4139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4140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3536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5021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5020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2571</v>
      </c>
      <c r="S1360" s="216" t="s">
        <v>5020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5020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5020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5020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5020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2027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2010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2011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2029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2022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2012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2014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2034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2015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2054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2006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2056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2161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2057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3391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5020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2031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2028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4520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3378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2013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2007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3389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2030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3375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3407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3380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3381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3390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3382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3379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3385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3393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3387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3406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3373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2505</v>
      </c>
      <c r="B1450" s="63" t="s">
        <v>3383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3323</v>
      </c>
      <c r="B1451" s="278" t="s">
        <v>3374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3324</v>
      </c>
      <c r="B1452" s="63" t="s">
        <v>3384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3325</v>
      </c>
      <c r="B1453" s="63" t="s">
        <v>3402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3326</v>
      </c>
      <c r="B1454" s="63" t="s">
        <v>3403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3327</v>
      </c>
      <c r="B1455" s="63" t="s">
        <v>3376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3328</v>
      </c>
      <c r="B1456" s="63" t="s">
        <v>3405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3329</v>
      </c>
      <c r="B1457" s="63" t="s">
        <v>3377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3330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3331</v>
      </c>
      <c r="B1459" s="63" t="s">
        <v>3386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3332</v>
      </c>
      <c r="B1460" s="63" t="s">
        <v>3394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3333</v>
      </c>
      <c r="B1461" s="63" t="s">
        <v>3388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3334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3335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3336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3337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3338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3339</v>
      </c>
      <c r="B1467" s="278" t="s">
        <v>2008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3340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3341</v>
      </c>
      <c r="B1469" s="278" t="s">
        <v>2032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3342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3343</v>
      </c>
      <c r="B1471" s="278" t="s">
        <v>2033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3344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3345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3346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4138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4139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4140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5025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2470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5027</v>
      </c>
      <c r="S1489" s="216" t="s">
        <v>2473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5026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2465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2010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2012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2013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2029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2006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2007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2014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2011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2027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2022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2015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2028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3378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3389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2034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3407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4520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3382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3391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2161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3373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2031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3383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3390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2008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3386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3393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2030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3405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3384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2505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3323</v>
      </c>
      <c r="B1585" s="278" t="s">
        <v>3374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3324</v>
      </c>
      <c r="B1586" s="63" t="s">
        <v>3388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3325</v>
      </c>
      <c r="B1587" s="278" t="s">
        <v>2054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3326</v>
      </c>
      <c r="B1588" s="63" t="s">
        <v>3380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3327</v>
      </c>
      <c r="B1589" s="63" t="s">
        <v>3377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3328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3329</v>
      </c>
      <c r="B1591" s="278" t="s">
        <v>2056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3330</v>
      </c>
      <c r="B1592" s="63" t="s">
        <v>3394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3331</v>
      </c>
      <c r="B1593" s="63" t="s">
        <v>3406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3332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3333</v>
      </c>
      <c r="B1595" s="63" t="s">
        <v>3402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3334</v>
      </c>
      <c r="B1596" s="278" t="s">
        <v>2032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3335</v>
      </c>
      <c r="B1597" s="63" t="s">
        <v>3387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3336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3337</v>
      </c>
      <c r="B1599" s="63" t="s">
        <v>3385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3338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3339</v>
      </c>
      <c r="B1601" s="63" t="s">
        <v>3375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3340</v>
      </c>
      <c r="B1602" s="63" t="s">
        <v>3376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3341</v>
      </c>
      <c r="B1603" s="63" t="s">
        <v>3379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3342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3343</v>
      </c>
      <c r="B1605" s="63" t="s">
        <v>3403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3344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3345</v>
      </c>
      <c r="B1607" s="63" t="s">
        <v>3381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3346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4138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4139</v>
      </c>
      <c r="B1610" s="278" t="s">
        <v>2057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4140</v>
      </c>
      <c r="B1611" s="278" t="s">
        <v>2033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515">
        <v>381.8</v>
      </c>
      <c r="N1618" s="67">
        <f>SUM(E1618:L1618)</f>
        <v>1808.1999999999994</v>
      </c>
      <c r="P1618" t="s">
        <v>2590</v>
      </c>
      <c r="S1618" s="216" t="s">
        <v>2591</v>
      </c>
      <c r="T1618" s="513"/>
      <c r="U1618" s="513"/>
      <c r="V1618" s="361"/>
      <c r="W1618" s="514"/>
      <c r="X1618" s="513"/>
      <c r="Z1618" s="518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515">
        <v>314</v>
      </c>
      <c r="N1619" s="67">
        <f>SUM(E1619:L1619)</f>
        <v>1634.5999999999949</v>
      </c>
      <c r="P1619" t="s">
        <v>304</v>
      </c>
      <c r="T1619" s="516"/>
      <c r="U1619" s="513"/>
      <c r="V1619" s="348"/>
      <c r="W1619" s="514"/>
      <c r="X1619" s="513"/>
      <c r="Z1619" s="518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520">
        <v>516.29999999999995</v>
      </c>
      <c r="N1620" s="67">
        <f>SUM(E1620:L1620)</f>
        <v>1531.4500000000032</v>
      </c>
      <c r="P1620" t="s">
        <v>5080</v>
      </c>
      <c r="T1620" s="225"/>
      <c r="U1620" s="513"/>
      <c r="V1620" s="348"/>
      <c r="W1620" s="514"/>
      <c r="X1620" s="513"/>
      <c r="Z1620" s="518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515">
        <v>71.7</v>
      </c>
      <c r="N1621" s="67">
        <f>SUM(E1621:L1621)</f>
        <v>1483.0000000000039</v>
      </c>
      <c r="P1621" t="s">
        <v>2471</v>
      </c>
      <c r="T1621" s="516"/>
      <c r="U1621" s="513"/>
      <c r="V1621" s="348"/>
      <c r="W1621" s="514"/>
      <c r="X1621" s="513"/>
      <c r="Z1621" s="518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515">
        <v>307</v>
      </c>
      <c r="N1622" s="67">
        <f>SUM(E1622:L1622)</f>
        <v>1407.1999999999991</v>
      </c>
      <c r="P1622" t="s">
        <v>283</v>
      </c>
      <c r="T1622" s="225"/>
      <c r="U1622" s="513"/>
      <c r="V1622" s="348"/>
      <c r="W1622" s="514"/>
      <c r="X1622" s="513"/>
      <c r="Z1622" s="518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515">
        <v>305.7</v>
      </c>
      <c r="N1623" s="67">
        <f>SUM(E1623:L1623)</f>
        <v>1324.9499999999973</v>
      </c>
      <c r="P1623" t="s">
        <v>282</v>
      </c>
      <c r="S1623" s="3" t="s">
        <v>1767</v>
      </c>
      <c r="T1623" s="225"/>
      <c r="U1623" s="513"/>
      <c r="V1623" s="348"/>
      <c r="W1623" s="514"/>
      <c r="X1623" s="513"/>
      <c r="Z1623" s="518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515">
        <v>120.3</v>
      </c>
      <c r="N1624" s="67">
        <f>SUM(E1624:L1624)</f>
        <v>1317.699999999996</v>
      </c>
      <c r="P1624" t="s">
        <v>2592</v>
      </c>
      <c r="S1624" s="3" t="s">
        <v>1767</v>
      </c>
      <c r="T1624" s="513"/>
      <c r="U1624" s="513"/>
      <c r="V1624" s="361"/>
      <c r="W1624" s="514"/>
      <c r="X1624" s="513"/>
      <c r="Z1624" s="518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522">
        <v>388.4</v>
      </c>
      <c r="N1625" s="67">
        <f>SUM(E1625:L1625)</f>
        <v>1259.7999999999988</v>
      </c>
      <c r="P1625" t="s">
        <v>2828</v>
      </c>
      <c r="S1625" s="216" t="s">
        <v>1767</v>
      </c>
      <c r="T1625" s="516"/>
      <c r="U1625" s="513"/>
      <c r="V1625" s="348"/>
      <c r="W1625" s="514"/>
      <c r="X1625" s="513"/>
      <c r="Z1625" s="518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515">
        <v>195.5</v>
      </c>
      <c r="N1626" s="67">
        <f>SUM(E1626:L1626)</f>
        <v>1241.2999999999995</v>
      </c>
      <c r="P1626" t="s">
        <v>282</v>
      </c>
      <c r="S1626" s="3" t="s">
        <v>1767</v>
      </c>
      <c r="T1626" s="516"/>
      <c r="U1626" s="513"/>
      <c r="V1626" s="348"/>
      <c r="W1626" s="514"/>
      <c r="X1626" s="513"/>
      <c r="Z1626" s="518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515">
        <v>116</v>
      </c>
      <c r="N1627" s="67">
        <f>SUM(E1627:L1627)</f>
        <v>1201.3000000000006</v>
      </c>
      <c r="P1627" t="s">
        <v>301</v>
      </c>
      <c r="T1627" s="513"/>
      <c r="U1627" s="513"/>
      <c r="V1627" s="361"/>
      <c r="W1627" s="514"/>
      <c r="X1627" s="513"/>
      <c r="Z1627" s="518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515">
        <v>144.5</v>
      </c>
      <c r="N1628" s="67">
        <f>SUM(E1628:L1628)</f>
        <v>1166.599999999999</v>
      </c>
      <c r="P1628" t="s">
        <v>289</v>
      </c>
      <c r="T1628" s="225"/>
      <c r="U1628" s="513"/>
      <c r="V1628" s="348"/>
      <c r="W1628" s="514"/>
      <c r="X1628" s="513"/>
      <c r="Z1628" s="518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515">
        <v>124.1</v>
      </c>
      <c r="N1629" s="67">
        <f>SUM(E1629:L1629)</f>
        <v>1129.9000000000008</v>
      </c>
      <c r="P1629" t="s">
        <v>284</v>
      </c>
      <c r="T1629" s="513"/>
      <c r="U1629" s="513"/>
      <c r="V1629" s="348"/>
      <c r="W1629" s="514"/>
      <c r="X1629" s="513"/>
      <c r="Z1629" s="518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515">
        <v>129.30000000000001</v>
      </c>
      <c r="N1630" s="67">
        <f>SUM(E1630:L1630)</f>
        <v>1096.2000000000005</v>
      </c>
      <c r="P1630" t="s">
        <v>293</v>
      </c>
      <c r="T1630" s="516"/>
      <c r="U1630" s="513"/>
      <c r="V1630" s="348"/>
      <c r="W1630" s="514"/>
      <c r="X1630" s="513"/>
      <c r="Z1630" s="518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515">
        <v>128.4</v>
      </c>
      <c r="N1631" s="67">
        <f>SUM(E1631:L1631)</f>
        <v>1092.5499999999979</v>
      </c>
      <c r="P1631" t="s">
        <v>353</v>
      </c>
      <c r="T1631" s="513"/>
      <c r="U1631" s="513"/>
      <c r="V1631" s="348"/>
      <c r="W1631" s="514"/>
      <c r="X1631" s="513"/>
      <c r="Z1631" s="518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515">
        <v>138.80000000000001</v>
      </c>
      <c r="N1632" s="67">
        <f>SUM(E1632:L1632)</f>
        <v>1048.7000000000028</v>
      </c>
      <c r="P1632" t="s">
        <v>285</v>
      </c>
      <c r="T1632" s="516"/>
      <c r="U1632" s="513"/>
      <c r="V1632" s="348"/>
      <c r="W1632" s="514"/>
      <c r="X1632" s="513"/>
      <c r="Z1632" s="518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515">
        <v>210</v>
      </c>
      <c r="N1633" s="67">
        <f>SUM(E1633:L1633)</f>
        <v>1039.499999999998</v>
      </c>
      <c r="P1633" t="s">
        <v>309</v>
      </c>
      <c r="T1633" s="513"/>
      <c r="U1633" s="513"/>
      <c r="V1633" s="361"/>
      <c r="W1633" s="514"/>
      <c r="X1633" s="513"/>
      <c r="Z1633" s="518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515">
        <v>240.3</v>
      </c>
      <c r="N1634" s="67">
        <f>SUM(E1634:L1634)</f>
        <v>1012.8999999999983</v>
      </c>
      <c r="T1634" s="513"/>
      <c r="U1634" s="513"/>
      <c r="V1634" s="348"/>
      <c r="W1634" s="514"/>
      <c r="X1634" s="513"/>
      <c r="Z1634" s="518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515">
        <v>154.80000000000001</v>
      </c>
      <c r="N1635" s="67">
        <f>SUM(E1635:L1635)</f>
        <v>1003.1500000000005</v>
      </c>
      <c r="P1635" t="s">
        <v>319</v>
      </c>
      <c r="T1635" s="516"/>
      <c r="U1635" s="513"/>
      <c r="V1635" s="348"/>
      <c r="W1635" s="514"/>
      <c r="X1635" s="513"/>
      <c r="Z1635" s="518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515">
        <v>141.6</v>
      </c>
      <c r="N1636" s="67">
        <f>SUM(E1636:L1636)</f>
        <v>992.50000000000352</v>
      </c>
      <c r="P1636" t="s">
        <v>284</v>
      </c>
      <c r="T1636" s="513"/>
      <c r="U1636" s="513"/>
      <c r="V1636" s="361"/>
      <c r="W1636" s="514"/>
      <c r="X1636" s="513"/>
      <c r="Z1636" s="518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515">
        <v>171.6</v>
      </c>
      <c r="N1637" s="67">
        <f>SUM(E1637:L1637)</f>
        <v>985.00000000000057</v>
      </c>
      <c r="P1637" t="s">
        <v>337</v>
      </c>
      <c r="T1637" s="513"/>
      <c r="U1637" s="513"/>
      <c r="V1637" s="361"/>
      <c r="W1637" s="514"/>
      <c r="X1637" s="513"/>
      <c r="Z1637" s="518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>SUM(E1638:L1638)</f>
        <v>984.35000000000196</v>
      </c>
      <c r="P1638" t="s">
        <v>285</v>
      </c>
      <c r="T1638" s="516"/>
      <c r="U1638" s="513"/>
      <c r="V1638" s="349"/>
      <c r="W1638" s="514"/>
      <c r="X1638" s="513"/>
      <c r="Z1638" s="518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515">
        <v>323.3</v>
      </c>
      <c r="N1639" s="67">
        <f>SUM(E1639:L1639)</f>
        <v>973.34999999999468</v>
      </c>
      <c r="T1639" s="516"/>
      <c r="U1639" s="513"/>
      <c r="V1639" s="348"/>
      <c r="W1639" s="514"/>
      <c r="X1639" s="513"/>
      <c r="Z1639" s="518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515">
        <v>134.80000000000001</v>
      </c>
      <c r="N1640" s="67">
        <f>SUM(E1640:L1640)</f>
        <v>940.50000000000159</v>
      </c>
      <c r="P1640" t="s">
        <v>301</v>
      </c>
      <c r="T1640" s="516"/>
      <c r="U1640" s="513"/>
      <c r="V1640" s="348"/>
      <c r="W1640" s="514"/>
      <c r="X1640" s="513"/>
      <c r="Z1640" s="518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515">
        <v>381.2</v>
      </c>
      <c r="N1641" s="67">
        <f>SUM(E1641:L1641)</f>
        <v>913.19999999999914</v>
      </c>
      <c r="T1641" s="513"/>
      <c r="U1641" s="513"/>
      <c r="V1641" s="361"/>
      <c r="W1641" s="514"/>
      <c r="X1641" s="513"/>
      <c r="Z1641" s="518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>SUM(E1642:L1642)</f>
        <v>908.25000000000023</v>
      </c>
      <c r="P1642" t="s">
        <v>317</v>
      </c>
      <c r="T1642" s="516"/>
      <c r="U1642" s="513"/>
      <c r="V1642" s="348"/>
      <c r="W1642" s="514"/>
      <c r="X1642" s="513"/>
      <c r="Z1642" s="518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515">
        <v>236.1</v>
      </c>
      <c r="N1643" s="67">
        <f>SUM(E1643:L1643)</f>
        <v>906.50000000000148</v>
      </c>
      <c r="T1643" s="225"/>
      <c r="U1643" s="513"/>
      <c r="V1643" s="348"/>
      <c r="W1643" s="514"/>
      <c r="X1643" s="513"/>
      <c r="Z1643" s="518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515">
        <v>249.89999999999998</v>
      </c>
      <c r="N1644" s="67">
        <f>SUM(E1644:L1644)</f>
        <v>899.49999999999943</v>
      </c>
      <c r="P1644" t="s">
        <v>288</v>
      </c>
      <c r="T1644" s="513"/>
      <c r="U1644" s="513"/>
      <c r="V1644" s="348"/>
      <c r="W1644" s="514"/>
      <c r="X1644" s="513"/>
      <c r="Z1644" s="518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515">
        <v>266</v>
      </c>
      <c r="N1645" s="67">
        <f>SUM(E1645:L1645)</f>
        <v>891.49999999999727</v>
      </c>
      <c r="P1645" t="s">
        <v>301</v>
      </c>
      <c r="T1645" s="516"/>
      <c r="U1645" s="513"/>
      <c r="V1645" s="348"/>
      <c r="W1645" s="514"/>
      <c r="X1645" s="513"/>
      <c r="Z1645" s="518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515">
        <v>316.79999999999995</v>
      </c>
      <c r="N1646" s="67">
        <f>SUM(E1646:L1646)</f>
        <v>889.00000000000068</v>
      </c>
      <c r="T1646" s="513"/>
      <c r="U1646" s="513"/>
      <c r="V1646" s="361"/>
      <c r="W1646" s="514"/>
      <c r="X1646" s="513"/>
      <c r="Z1646" s="518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515">
        <v>177.3</v>
      </c>
      <c r="N1647" s="67">
        <f>SUM(E1647:L1647)</f>
        <v>881.29999999999973</v>
      </c>
      <c r="P1647" t="s">
        <v>289</v>
      </c>
      <c r="T1647" s="516"/>
      <c r="U1647" s="513"/>
      <c r="V1647" s="349"/>
      <c r="W1647" s="514"/>
      <c r="X1647" s="513"/>
      <c r="Z1647" s="518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515">
        <v>157.69999999999999</v>
      </c>
      <c r="N1648" s="67">
        <f>SUM(E1648:L1648)</f>
        <v>878.20000000000095</v>
      </c>
      <c r="P1648" t="s">
        <v>298</v>
      </c>
      <c r="T1648" s="516"/>
      <c r="U1648" s="513"/>
      <c r="V1648" s="349"/>
      <c r="W1648" s="514"/>
      <c r="X1648" s="513"/>
      <c r="Z1648" s="518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522">
        <v>430.7</v>
      </c>
      <c r="N1649" s="67">
        <f>SUM(E1649:L1649)</f>
        <v>857.89999999999804</v>
      </c>
      <c r="P1649" t="s">
        <v>317</v>
      </c>
      <c r="T1649" s="513"/>
      <c r="U1649" s="513"/>
      <c r="V1649" s="348"/>
      <c r="W1649" s="514"/>
      <c r="X1649" s="513"/>
      <c r="Z1649" s="518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515">
        <v>201.5</v>
      </c>
      <c r="N1650" s="67">
        <f>SUM(E1650:L1650)</f>
        <v>818.89999999999691</v>
      </c>
      <c r="P1650" t="s">
        <v>289</v>
      </c>
      <c r="T1650" s="516"/>
      <c r="U1650" s="513"/>
      <c r="V1650" s="348"/>
      <c r="W1650" s="514"/>
      <c r="X1650" s="513"/>
      <c r="Z1650" s="518">
        <v>62</v>
      </c>
    </row>
    <row r="1651" spans="1:26" ht="15">
      <c r="A1651" s="28" t="s">
        <v>278</v>
      </c>
      <c r="B1651" s="278" t="s">
        <v>2007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515">
        <v>173.3</v>
      </c>
      <c r="N1651" s="67">
        <f>SUM(E1651:L1651)</f>
        <v>803.60000000000059</v>
      </c>
      <c r="P1651" t="s">
        <v>289</v>
      </c>
      <c r="T1651" s="513"/>
      <c r="U1651" s="513"/>
      <c r="V1651" s="361"/>
      <c r="W1651" s="514"/>
      <c r="X1651" s="513"/>
      <c r="Z1651" s="518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515">
        <v>113.5</v>
      </c>
      <c r="N1652" s="67">
        <f>SUM(E1652:L1652)</f>
        <v>803.59999999999741</v>
      </c>
      <c r="T1652" s="516"/>
      <c r="U1652" s="513"/>
      <c r="V1652" s="349"/>
      <c r="W1652" s="514"/>
      <c r="X1652" s="513"/>
      <c r="Z1652" s="518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515">
        <v>111</v>
      </c>
      <c r="N1653" s="67">
        <f>SUM(E1653:L1653)</f>
        <v>789.99999999999966</v>
      </c>
      <c r="T1653" s="516"/>
      <c r="U1653" s="513"/>
      <c r="V1653" s="348"/>
      <c r="W1653" s="514"/>
      <c r="X1653" s="513"/>
      <c r="Z1653" s="518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>SUM(E1654:L1654)</f>
        <v>776.1499999999993</v>
      </c>
      <c r="P1654" t="s">
        <v>373</v>
      </c>
      <c r="T1654" s="513"/>
      <c r="U1654" s="513"/>
      <c r="V1654" s="348"/>
      <c r="W1654" s="514"/>
      <c r="X1654" s="513"/>
      <c r="Z1654" s="518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515">
        <v>170.5</v>
      </c>
      <c r="N1655" s="67">
        <f>SUM(E1655:L1655)</f>
        <v>768.80000000000382</v>
      </c>
      <c r="T1655" s="513"/>
      <c r="U1655" s="513"/>
      <c r="V1655" s="348"/>
      <c r="W1655" s="514"/>
      <c r="X1655" s="513"/>
      <c r="Z1655" s="518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515">
        <v>102.60000000000001</v>
      </c>
      <c r="N1656" s="67">
        <f>SUM(E1656:L1656)</f>
        <v>766.30000000000075</v>
      </c>
      <c r="T1656" s="513"/>
      <c r="U1656" s="513"/>
      <c r="V1656" s="361"/>
      <c r="W1656" s="514"/>
      <c r="X1656" s="513"/>
      <c r="Z1656" s="518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515">
        <v>70.2</v>
      </c>
      <c r="N1657" s="67">
        <f>SUM(E1657:L1657)</f>
        <v>763.29999999999711</v>
      </c>
      <c r="T1657" s="513"/>
      <c r="U1657" s="513"/>
      <c r="V1657" s="361"/>
      <c r="W1657" s="514"/>
      <c r="X1657" s="513"/>
      <c r="Z1657" s="518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515">
        <v>260.8</v>
      </c>
      <c r="N1658" s="67">
        <f>SUM(E1658:L1658)</f>
        <v>760.7</v>
      </c>
      <c r="T1658" s="513"/>
      <c r="U1658" s="513"/>
      <c r="V1658" s="361"/>
      <c r="W1658" s="514"/>
      <c r="X1658" s="513"/>
      <c r="Z1658" s="518">
        <v>47</v>
      </c>
    </row>
    <row r="1659" spans="1:26" ht="15">
      <c r="A1659" s="28" t="s">
        <v>751</v>
      </c>
      <c r="B1659" s="278" t="s">
        <v>2011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515">
        <v>112.5</v>
      </c>
      <c r="N1659" s="67">
        <f>SUM(E1659:L1659)</f>
        <v>759.39999999999873</v>
      </c>
      <c r="P1659" t="s">
        <v>285</v>
      </c>
      <c r="T1659" s="225"/>
      <c r="U1659" s="513"/>
      <c r="V1659" s="348"/>
      <c r="W1659" s="514"/>
      <c r="X1659" s="513"/>
      <c r="Z1659" s="518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522">
        <v>437</v>
      </c>
      <c r="N1660" s="67">
        <f>SUM(E1660:L1660)</f>
        <v>747.05000000000473</v>
      </c>
      <c r="P1660" t="s">
        <v>285</v>
      </c>
      <c r="T1660" s="513"/>
      <c r="U1660" s="513"/>
      <c r="V1660" s="361"/>
      <c r="W1660" s="514"/>
      <c r="X1660" s="513"/>
      <c r="Z1660" s="518">
        <v>76</v>
      </c>
    </row>
    <row r="1661" spans="1:26" ht="15">
      <c r="A1661" s="28" t="s">
        <v>756</v>
      </c>
      <c r="B1661" s="278" t="s">
        <v>2029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515">
        <v>279.90000000000003</v>
      </c>
      <c r="N1661" s="67">
        <f>SUM(E1661:L1661)</f>
        <v>706.90000000000009</v>
      </c>
      <c r="P1661" t="s">
        <v>289</v>
      </c>
      <c r="T1661" s="516"/>
      <c r="U1661" s="513"/>
      <c r="V1661" s="348"/>
      <c r="W1661" s="514"/>
      <c r="X1661" s="513"/>
      <c r="Z1661" s="518">
        <v>73</v>
      </c>
    </row>
    <row r="1662" spans="1:26" ht="15">
      <c r="A1662" s="28" t="s">
        <v>761</v>
      </c>
      <c r="B1662" s="278" t="s">
        <v>2010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515">
        <v>191.5</v>
      </c>
      <c r="N1662" s="67">
        <f>SUM(E1662:L1662)</f>
        <v>695.60000000000036</v>
      </c>
      <c r="T1662" s="516"/>
      <c r="U1662" s="513"/>
      <c r="V1662" s="348"/>
      <c r="W1662" s="514"/>
      <c r="X1662" s="513"/>
      <c r="Z1662" s="518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515">
        <v>229.8</v>
      </c>
      <c r="N1663" s="67">
        <f>SUM(E1663:L1663)</f>
        <v>681.70000000000323</v>
      </c>
      <c r="T1663" s="513"/>
      <c r="U1663" s="513"/>
      <c r="V1663" s="348"/>
      <c r="W1663" s="514"/>
      <c r="X1663" s="513"/>
      <c r="Z1663" s="518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515">
        <v>162.30000000000001</v>
      </c>
      <c r="N1664" s="67">
        <f>SUM(E1664:L1664)</f>
        <v>681.3999999999985</v>
      </c>
      <c r="T1664" s="513"/>
      <c r="U1664" s="513"/>
      <c r="V1664" s="348"/>
      <c r="W1664" s="514"/>
      <c r="X1664" s="513"/>
      <c r="Z1664" s="518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>SUM(E1665:L1665)</f>
        <v>672.79999999999961</v>
      </c>
      <c r="P1665" t="s">
        <v>294</v>
      </c>
      <c r="T1665" s="513"/>
      <c r="U1665" s="513"/>
      <c r="V1665" s="348"/>
      <c r="W1665" s="514"/>
      <c r="X1665" s="513"/>
      <c r="Z1665" s="518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515">
        <v>206.8</v>
      </c>
      <c r="N1666" s="67">
        <f>SUM(E1666:L1666)</f>
        <v>665.90000000000032</v>
      </c>
      <c r="T1666" s="516"/>
      <c r="U1666" s="513"/>
      <c r="V1666" s="349"/>
      <c r="W1666" s="514"/>
      <c r="X1666" s="513"/>
      <c r="Z1666" s="518">
        <v>54</v>
      </c>
    </row>
    <row r="1667" spans="1:26" ht="15">
      <c r="A1667" s="28" t="s">
        <v>781</v>
      </c>
      <c r="B1667" s="278" t="s">
        <v>4520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515">
        <v>238.7</v>
      </c>
      <c r="N1667" s="67">
        <f>SUM(E1667:L1667)</f>
        <v>658.95000000000186</v>
      </c>
      <c r="T1667" s="516"/>
      <c r="U1667" s="513"/>
      <c r="V1667" s="348"/>
      <c r="W1667" s="514"/>
      <c r="X1667" s="513"/>
      <c r="Z1667" s="518">
        <v>2</v>
      </c>
    </row>
    <row r="1668" spans="1:26" ht="15">
      <c r="A1668" s="28" t="s">
        <v>785</v>
      </c>
      <c r="B1668" s="278" t="s">
        <v>2034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515">
        <v>181</v>
      </c>
      <c r="N1668" s="67">
        <f>SUM(E1668:L1668)</f>
        <v>646.70000000000255</v>
      </c>
      <c r="P1668" t="s">
        <v>283</v>
      </c>
      <c r="T1668" s="513"/>
      <c r="U1668" s="513"/>
      <c r="V1668" s="361"/>
      <c r="W1668" s="514"/>
      <c r="X1668" s="513"/>
      <c r="Z1668" s="518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515">
        <v>296.8</v>
      </c>
      <c r="N1669" s="67">
        <f>SUM(E1669:L1669)</f>
        <v>638.99999999999977</v>
      </c>
      <c r="T1669" s="516"/>
      <c r="U1669" s="513"/>
      <c r="V1669" s="348"/>
      <c r="W1669" s="514"/>
      <c r="X1669" s="513"/>
      <c r="Z1669" s="518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515">
        <v>174.7</v>
      </c>
      <c r="N1670" s="67">
        <f>SUM(E1670:L1670)</f>
        <v>620.2999999999995</v>
      </c>
      <c r="T1670" s="225"/>
      <c r="U1670" s="513"/>
      <c r="V1670" s="348"/>
      <c r="W1670" s="514"/>
      <c r="X1670" s="513"/>
      <c r="Z1670" s="518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515">
        <v>150.5</v>
      </c>
      <c r="N1671" s="67">
        <f>SUM(E1671:L1671)</f>
        <v>616.00000000000091</v>
      </c>
      <c r="T1671" s="513"/>
      <c r="U1671" s="513"/>
      <c r="V1671" s="348"/>
      <c r="W1671" s="514"/>
      <c r="X1671" s="513"/>
      <c r="Z1671" s="518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>SUM(E1672:L1672)</f>
        <v>599.3999999999993</v>
      </c>
      <c r="T1672" s="513"/>
      <c r="U1672" s="513"/>
      <c r="V1672" s="361"/>
      <c r="W1672" s="514"/>
      <c r="X1672" s="513"/>
      <c r="Z1672" s="518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515">
        <v>204.29999999999998</v>
      </c>
      <c r="N1673" s="67">
        <f>SUM(E1673:L1673)</f>
        <v>586.44999999999959</v>
      </c>
      <c r="T1673" s="513"/>
      <c r="U1673" s="513"/>
      <c r="V1673" s="361"/>
      <c r="W1673" s="514"/>
      <c r="X1673" s="513"/>
      <c r="Z1673" s="518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515">
        <v>104.10000000000001</v>
      </c>
      <c r="N1674" s="67">
        <f>SUM(E1674:L1674)</f>
        <v>574.29999999999802</v>
      </c>
      <c r="P1674" t="s">
        <v>283</v>
      </c>
      <c r="T1674" s="513"/>
      <c r="U1674" s="513"/>
      <c r="V1674" s="348"/>
      <c r="W1674" s="514"/>
      <c r="X1674" s="513"/>
      <c r="Z1674" s="518">
        <v>39</v>
      </c>
    </row>
    <row r="1675" spans="1:26" ht="15">
      <c r="A1675" s="28" t="s">
        <v>798</v>
      </c>
      <c r="B1675" s="278" t="s">
        <v>2022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515">
        <v>313.59999999999997</v>
      </c>
      <c r="N1675" s="67">
        <f>SUM(E1675:L1675)</f>
        <v>549.099999999999</v>
      </c>
      <c r="T1675" s="516"/>
      <c r="U1675" s="513"/>
      <c r="V1675" s="348"/>
      <c r="W1675" s="514"/>
      <c r="X1675" s="513"/>
      <c r="Z1675" s="518">
        <v>40</v>
      </c>
    </row>
    <row r="1676" spans="1:26" ht="15">
      <c r="A1676" s="28" t="s">
        <v>799</v>
      </c>
      <c r="B1676" s="278" t="s">
        <v>2057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515">
        <v>81.5</v>
      </c>
      <c r="N1676" s="67">
        <f>SUM(E1676:L1676)</f>
        <v>546.5</v>
      </c>
      <c r="P1676" t="s">
        <v>284</v>
      </c>
      <c r="T1676" s="513"/>
      <c r="U1676" s="513"/>
      <c r="V1676" s="348"/>
      <c r="W1676" s="514"/>
      <c r="X1676" s="513"/>
      <c r="Z1676" s="518">
        <v>48</v>
      </c>
    </row>
    <row r="1677" spans="1:26" ht="15">
      <c r="A1677" s="28" t="s">
        <v>802</v>
      </c>
      <c r="B1677" s="63" t="s">
        <v>3391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519">
        <v>538.4</v>
      </c>
      <c r="M1677" s="67"/>
      <c r="N1677" s="67">
        <f>SUM(E1677:L1677)</f>
        <v>538.4</v>
      </c>
      <c r="P1677" t="s">
        <v>282</v>
      </c>
      <c r="S1677" s="216" t="s">
        <v>1767</v>
      </c>
      <c r="T1677" s="225"/>
      <c r="U1677" s="513"/>
      <c r="V1677" s="348"/>
      <c r="W1677" s="514"/>
      <c r="X1677" s="513"/>
      <c r="Z1677" s="518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515">
        <v>85.9</v>
      </c>
      <c r="N1678" s="67">
        <f>SUM(E1678:L1678)</f>
        <v>534.70000000000107</v>
      </c>
      <c r="P1678" t="s">
        <v>282</v>
      </c>
      <c r="S1678" s="216" t="s">
        <v>1767</v>
      </c>
      <c r="T1678" s="225"/>
      <c r="U1678" s="513"/>
      <c r="V1678" s="349"/>
      <c r="W1678" s="514"/>
      <c r="X1678" s="513"/>
      <c r="Z1678" s="518">
        <v>96</v>
      </c>
    </row>
    <row r="1679" spans="1:26" ht="15">
      <c r="A1679" s="28" t="s">
        <v>897</v>
      </c>
      <c r="B1679" s="278" t="s">
        <v>2161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515">
        <v>153.4</v>
      </c>
      <c r="N1679" s="67">
        <f>SUM(E1679:L1679)</f>
        <v>532.89999999999907</v>
      </c>
      <c r="T1679" s="513"/>
      <c r="U1679" s="513"/>
      <c r="V1679" s="361"/>
      <c r="W1679" s="514"/>
      <c r="X1679" s="513"/>
      <c r="Z1679" s="518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515">
        <v>102</v>
      </c>
      <c r="N1680" s="67">
        <f>SUM(E1680:L1680)</f>
        <v>523.39999999999782</v>
      </c>
      <c r="T1680" s="513"/>
      <c r="U1680" s="513"/>
      <c r="V1680" s="348"/>
      <c r="W1680" s="514"/>
      <c r="X1680" s="513"/>
      <c r="Z1680" s="518">
        <v>85</v>
      </c>
    </row>
    <row r="1681" spans="1:26" ht="15">
      <c r="A1681" s="28" t="s">
        <v>899</v>
      </c>
      <c r="B1681" s="278" t="s">
        <v>2012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515">
        <v>211</v>
      </c>
      <c r="N1681" s="67">
        <f>SUM(E1681:L1681)</f>
        <v>506.35000000000127</v>
      </c>
      <c r="T1681" s="516"/>
      <c r="U1681" s="513"/>
      <c r="V1681" s="349"/>
      <c r="W1681" s="514"/>
      <c r="X1681" s="513"/>
      <c r="Z1681" s="518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515">
        <v>105.5</v>
      </c>
      <c r="N1682" s="67">
        <f>SUM(E1682:L1682)</f>
        <v>499.09999999999764</v>
      </c>
      <c r="T1682" s="513"/>
      <c r="U1682" s="513"/>
      <c r="V1682" s="349"/>
      <c r="W1682" s="514"/>
      <c r="X1682" s="513"/>
      <c r="Z1682" s="518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515">
        <v>240.6</v>
      </c>
      <c r="N1683" s="67">
        <f>SUM(E1683:L1683)</f>
        <v>496.19999999999948</v>
      </c>
      <c r="T1683" s="516"/>
      <c r="U1683" s="513"/>
      <c r="V1683" s="348"/>
      <c r="W1683" s="514"/>
      <c r="X1683" s="513"/>
      <c r="Z1683" s="518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515">
        <v>138.1</v>
      </c>
      <c r="N1684" s="67">
        <f>SUM(E1684:L1684)</f>
        <v>485.05000000000257</v>
      </c>
      <c r="T1684" s="513"/>
      <c r="U1684" s="513"/>
      <c r="V1684" s="361"/>
      <c r="W1684" s="514"/>
      <c r="X1684" s="513"/>
      <c r="Z1684" s="518">
        <v>88</v>
      </c>
    </row>
    <row r="1685" spans="1:26" ht="15">
      <c r="A1685" s="28" t="s">
        <v>903</v>
      </c>
      <c r="B1685" s="278" t="s">
        <v>2013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>SUM(E1685:L1685)</f>
        <v>484</v>
      </c>
      <c r="T1685" s="513"/>
      <c r="U1685" s="513"/>
      <c r="V1685" s="349"/>
      <c r="W1685" s="514"/>
      <c r="X1685" s="513"/>
      <c r="Z1685" s="518">
        <v>3</v>
      </c>
    </row>
    <row r="1686" spans="1:26" ht="15">
      <c r="A1686" s="28" t="s">
        <v>904</v>
      </c>
      <c r="B1686" s="278" t="s">
        <v>2031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515">
        <v>280.7</v>
      </c>
      <c r="N1686" s="67">
        <f>SUM(E1686:L1686)</f>
        <v>478.39999999999981</v>
      </c>
      <c r="T1686" s="513"/>
      <c r="U1686" s="513"/>
      <c r="V1686" s="348"/>
      <c r="W1686" s="514"/>
      <c r="X1686" s="513"/>
      <c r="Z1686" s="518">
        <v>33</v>
      </c>
    </row>
    <row r="1687" spans="1:26" ht="15">
      <c r="A1687" s="28" t="s">
        <v>905</v>
      </c>
      <c r="B1687" s="278" t="s">
        <v>2028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515">
        <v>206</v>
      </c>
      <c r="N1687" s="67">
        <f>SUM(E1687:L1687)</f>
        <v>456.49999999999818</v>
      </c>
      <c r="T1687" s="513"/>
      <c r="U1687" s="513"/>
      <c r="V1687" s="348"/>
      <c r="W1687" s="514"/>
      <c r="X1687" s="513"/>
      <c r="Z1687" s="518">
        <v>43</v>
      </c>
    </row>
    <row r="1688" spans="1:26" ht="15">
      <c r="A1688" s="28" t="s">
        <v>906</v>
      </c>
      <c r="B1688" s="63" t="s">
        <v>3407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521">
        <v>450.6</v>
      </c>
      <c r="M1688" s="67"/>
      <c r="N1688" s="67">
        <f>SUM(E1688:L1688)</f>
        <v>450.6</v>
      </c>
      <c r="P1688" t="s">
        <v>283</v>
      </c>
      <c r="S1688" s="63"/>
      <c r="T1688" s="225"/>
      <c r="U1688" s="513"/>
      <c r="V1688" s="348"/>
      <c r="W1688" s="514"/>
      <c r="X1688" s="513"/>
      <c r="Z1688" s="518">
        <v>59</v>
      </c>
    </row>
    <row r="1689" spans="1:26" ht="15">
      <c r="A1689" s="28" t="s">
        <v>907</v>
      </c>
      <c r="B1689" s="63" t="s">
        <v>3405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522">
        <v>440.8</v>
      </c>
      <c r="M1689" s="67"/>
      <c r="N1689" s="67">
        <f>SUM(E1689:L1689)</f>
        <v>440.8</v>
      </c>
      <c r="P1689" t="s">
        <v>284</v>
      </c>
      <c r="S1689" s="63"/>
      <c r="T1689" s="513"/>
      <c r="U1689" s="513"/>
      <c r="V1689" s="361"/>
      <c r="W1689" s="514"/>
      <c r="X1689" s="513"/>
      <c r="Z1689" s="518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>SUM(E1690:L1690)</f>
        <v>434.29999999999779</v>
      </c>
      <c r="P1690" t="s">
        <v>317</v>
      </c>
      <c r="T1690" s="516"/>
      <c r="U1690" s="513"/>
      <c r="V1690" s="348"/>
      <c r="W1690" s="514"/>
      <c r="X1690" s="513"/>
      <c r="Z1690" s="518">
        <v>13</v>
      </c>
    </row>
    <row r="1691" spans="1:26" ht="15">
      <c r="A1691" s="28" t="s">
        <v>909</v>
      </c>
      <c r="B1691" s="278" t="s">
        <v>2056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515">
        <v>119.5</v>
      </c>
      <c r="N1691" s="67">
        <f>SUM(E1691:L1691)</f>
        <v>432</v>
      </c>
      <c r="T1691" s="516"/>
      <c r="U1691" s="513"/>
      <c r="V1691" s="348"/>
      <c r="W1691" s="514"/>
      <c r="X1691" s="513"/>
      <c r="Z1691" s="518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515">
        <v>221.6</v>
      </c>
      <c r="N1692" s="67">
        <f>SUM(E1692:L1692)</f>
        <v>429.24999999999693</v>
      </c>
      <c r="T1692" s="513"/>
      <c r="U1692" s="513"/>
      <c r="V1692" s="348"/>
      <c r="W1692" s="514"/>
      <c r="X1692" s="513"/>
      <c r="Z1692" s="518">
        <v>46</v>
      </c>
    </row>
    <row r="1693" spans="1:26" ht="15">
      <c r="A1693" s="28" t="s">
        <v>911</v>
      </c>
      <c r="B1693" s="278" t="s">
        <v>2015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515">
        <v>144.9</v>
      </c>
      <c r="N1693" s="67">
        <f>SUM(E1693:L1693)</f>
        <v>399.9</v>
      </c>
      <c r="T1693" s="513"/>
      <c r="U1693" s="513"/>
      <c r="V1693" s="348"/>
      <c r="W1693" s="514"/>
      <c r="X1693" s="513"/>
      <c r="Z1693" s="518">
        <v>69</v>
      </c>
    </row>
    <row r="1694" spans="1:26" ht="15">
      <c r="A1694" s="28" t="s">
        <v>912</v>
      </c>
      <c r="B1694" s="63" t="s">
        <v>3389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522">
        <v>396.9</v>
      </c>
      <c r="M1694" s="67"/>
      <c r="N1694" s="67">
        <f>SUM(E1694:L1694)</f>
        <v>396.9</v>
      </c>
      <c r="P1694" t="s">
        <v>293</v>
      </c>
      <c r="S1694" s="63"/>
      <c r="T1694" s="516"/>
      <c r="U1694" s="513"/>
      <c r="V1694" s="348"/>
      <c r="W1694" s="514"/>
      <c r="X1694" s="513"/>
      <c r="Z1694" s="518">
        <v>22</v>
      </c>
    </row>
    <row r="1695" spans="1:26" ht="15">
      <c r="A1695" s="28" t="s">
        <v>913</v>
      </c>
      <c r="B1695" s="63" t="s">
        <v>3382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522">
        <v>389.8</v>
      </c>
      <c r="M1695" s="67"/>
      <c r="N1695" s="67">
        <f>SUM(E1695:L1695)</f>
        <v>389.8</v>
      </c>
      <c r="P1695" t="s">
        <v>288</v>
      </c>
      <c r="S1695" s="63"/>
      <c r="T1695" s="516"/>
      <c r="U1695" s="513"/>
      <c r="V1695" s="348"/>
      <c r="W1695" s="514"/>
      <c r="X1695" s="513"/>
      <c r="Z1695" s="518">
        <v>38</v>
      </c>
    </row>
    <row r="1696" spans="1:26" ht="15">
      <c r="A1696" s="28" t="s">
        <v>914</v>
      </c>
      <c r="B1696" s="63" t="s">
        <v>3383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522">
        <v>384.9</v>
      </c>
      <c r="M1696" s="67"/>
      <c r="N1696" s="67">
        <f>SUM(E1696:L1696)</f>
        <v>384.9</v>
      </c>
      <c r="P1696" t="s">
        <v>294</v>
      </c>
      <c r="S1696" s="63"/>
      <c r="T1696" s="513"/>
      <c r="U1696" s="513"/>
      <c r="V1696" s="361"/>
      <c r="W1696" s="514"/>
      <c r="X1696" s="513"/>
      <c r="Z1696" s="518">
        <v>5</v>
      </c>
    </row>
    <row r="1697" spans="1:26" ht="15">
      <c r="A1697" s="28" t="s">
        <v>915</v>
      </c>
      <c r="B1697" s="63" t="s">
        <v>3390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515">
        <v>375.5</v>
      </c>
      <c r="M1697" s="67"/>
      <c r="N1697" s="67">
        <f>SUM(E1697:L1697)</f>
        <v>375.5</v>
      </c>
      <c r="S1697" s="63"/>
      <c r="T1697" s="513"/>
      <c r="U1697" s="513"/>
      <c r="V1697" s="348"/>
      <c r="W1697" s="514"/>
      <c r="X1697" s="513"/>
      <c r="Z1697" s="518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>SUM(E1698:L1698)</f>
        <v>372.69999999999891</v>
      </c>
      <c r="P1698" t="s">
        <v>285</v>
      </c>
      <c r="T1698" s="513"/>
      <c r="U1698" s="513"/>
      <c r="V1698" s="361"/>
      <c r="W1698" s="514"/>
      <c r="X1698" s="513"/>
      <c r="Z1698" s="518">
        <v>52</v>
      </c>
    </row>
    <row r="1699" spans="1:26" ht="15">
      <c r="A1699" s="28" t="s">
        <v>917</v>
      </c>
      <c r="B1699" s="278" t="s">
        <v>2030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515">
        <v>30.1</v>
      </c>
      <c r="N1699" s="67">
        <f>SUM(E1699:L1699)</f>
        <v>372.10000000000093</v>
      </c>
      <c r="T1699" s="516"/>
      <c r="U1699" s="513"/>
      <c r="V1699" s="348"/>
      <c r="W1699" s="514"/>
      <c r="X1699" s="513"/>
      <c r="Z1699" s="518">
        <v>36</v>
      </c>
    </row>
    <row r="1700" spans="1:26" ht="15">
      <c r="A1700" s="28" t="s">
        <v>918</v>
      </c>
      <c r="B1700" s="63" t="s">
        <v>3386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515">
        <v>344.2</v>
      </c>
      <c r="M1700" s="67"/>
      <c r="N1700" s="67">
        <f>SUM(E1700:L1700)</f>
        <v>344.2</v>
      </c>
      <c r="S1700" s="63"/>
      <c r="T1700" s="513"/>
      <c r="U1700" s="513"/>
      <c r="V1700" s="361"/>
      <c r="W1700" s="514"/>
      <c r="X1700" s="513"/>
      <c r="Z1700" s="518">
        <v>98</v>
      </c>
    </row>
    <row r="1701" spans="1:26" ht="15">
      <c r="A1701" s="28" t="s">
        <v>919</v>
      </c>
      <c r="B1701" s="63" t="s">
        <v>3393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515">
        <v>336.1</v>
      </c>
      <c r="M1701" s="67"/>
      <c r="N1701" s="67">
        <f>SUM(E1701:L1701)</f>
        <v>336.1</v>
      </c>
      <c r="S1701" s="63"/>
      <c r="T1701" s="516"/>
      <c r="U1701" s="513"/>
      <c r="V1701" s="349"/>
      <c r="W1701" s="514"/>
      <c r="X1701" s="513"/>
      <c r="Z1701" s="518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515">
        <v>153.5</v>
      </c>
      <c r="N1702" s="67">
        <f>SUM(E1702:L1702)</f>
        <v>333.59999999999945</v>
      </c>
      <c r="T1702" s="513"/>
      <c r="U1702" s="513"/>
      <c r="V1702" s="348"/>
      <c r="W1702" s="514"/>
      <c r="X1702" s="513"/>
      <c r="Z1702" s="518">
        <v>58</v>
      </c>
    </row>
    <row r="1703" spans="1:26" ht="15">
      <c r="A1703" s="28" t="s">
        <v>921</v>
      </c>
      <c r="B1703" s="63" t="s">
        <v>3394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515">
        <v>322.2</v>
      </c>
      <c r="M1703" s="67"/>
      <c r="N1703" s="67">
        <f>SUM(E1703:L1703)</f>
        <v>322.2</v>
      </c>
      <c r="S1703" s="63"/>
      <c r="T1703" s="513"/>
      <c r="U1703" s="513"/>
      <c r="V1703" s="361"/>
      <c r="W1703" s="514"/>
      <c r="X1703" s="513"/>
      <c r="Z1703" s="518">
        <v>100</v>
      </c>
    </row>
    <row r="1704" spans="1:26" ht="15">
      <c r="A1704" s="28" t="s">
        <v>922</v>
      </c>
      <c r="B1704" s="278" t="s">
        <v>3374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515">
        <v>317.3</v>
      </c>
      <c r="M1704" s="67"/>
      <c r="N1704" s="67">
        <f>SUM(E1704:L1704)</f>
        <v>317.3</v>
      </c>
      <c r="S1704" s="63"/>
      <c r="T1704" s="513"/>
      <c r="U1704" s="513"/>
      <c r="V1704" s="348"/>
      <c r="W1704" s="514"/>
      <c r="X1704" s="513"/>
      <c r="Z1704" s="518">
        <v>29</v>
      </c>
    </row>
    <row r="1705" spans="1:26" ht="15">
      <c r="A1705" s="28" t="s">
        <v>923</v>
      </c>
      <c r="B1705" s="278" t="s">
        <v>2006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515">
        <v>148.19999999999999</v>
      </c>
      <c r="N1705" s="67">
        <f>SUM(E1705:L1705)</f>
        <v>314.20000000000363</v>
      </c>
      <c r="T1705" s="513"/>
      <c r="U1705" s="513"/>
      <c r="V1705" s="349"/>
      <c r="W1705" s="514"/>
      <c r="X1705" s="513"/>
      <c r="Z1705" s="518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>SUM(E1706:L1706)</f>
        <v>304.79999999999745</v>
      </c>
      <c r="T1706" s="513"/>
      <c r="U1706" s="513"/>
      <c r="V1706" s="348"/>
      <c r="W1706" s="514"/>
      <c r="X1706" s="513"/>
      <c r="Z1706" s="518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>SUM(E1707:L1707)</f>
        <v>296.90000000000236</v>
      </c>
      <c r="T1707" s="517"/>
      <c r="U1707" s="513"/>
      <c r="V1707" s="348"/>
      <c r="W1707" s="514"/>
      <c r="X1707" s="513"/>
      <c r="Z1707" s="518">
        <v>32</v>
      </c>
    </row>
    <row r="1708" spans="1:26" ht="15">
      <c r="A1708" s="28" t="s">
        <v>926</v>
      </c>
      <c r="B1708" s="278" t="s">
        <v>2027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515">
        <v>145.5</v>
      </c>
      <c r="N1708" s="67">
        <f>SUM(E1708:L1708)</f>
        <v>294.00000000000182</v>
      </c>
      <c r="T1708" s="516"/>
      <c r="U1708" s="513"/>
      <c r="V1708" s="348"/>
      <c r="W1708" s="514"/>
      <c r="X1708" s="513"/>
      <c r="Z1708" s="518">
        <v>30</v>
      </c>
    </row>
    <row r="1709" spans="1:26" ht="15">
      <c r="A1709" s="28" t="s">
        <v>927</v>
      </c>
      <c r="B1709" s="63" t="s">
        <v>3380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515">
        <v>291.5</v>
      </c>
      <c r="M1709" s="67"/>
      <c r="N1709" s="67">
        <f>SUM(E1709:L1709)</f>
        <v>291.5</v>
      </c>
      <c r="S1709" s="63"/>
      <c r="T1709" s="225"/>
      <c r="U1709" s="513"/>
      <c r="V1709" s="348"/>
      <c r="W1709" s="514"/>
      <c r="X1709" s="513"/>
      <c r="Z1709" s="518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>SUM(E1710:L1710)</f>
        <v>261</v>
      </c>
      <c r="P1710" t="s">
        <v>288</v>
      </c>
      <c r="T1710" s="516"/>
      <c r="U1710" s="513"/>
      <c r="V1710" s="348"/>
      <c r="W1710" s="514"/>
      <c r="X1710" s="513"/>
      <c r="Z1710" s="518">
        <v>49</v>
      </c>
    </row>
    <row r="1711" spans="1:26" ht="15">
      <c r="A1711" s="28" t="s">
        <v>929</v>
      </c>
      <c r="B1711" s="63" t="s">
        <v>3381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515">
        <v>255.8</v>
      </c>
      <c r="M1711" s="67"/>
      <c r="N1711" s="67">
        <f>SUM(E1711:L1711)</f>
        <v>255.8</v>
      </c>
      <c r="S1711" s="63"/>
      <c r="T1711" s="513"/>
      <c r="U1711" s="513"/>
      <c r="V1711" s="361"/>
      <c r="W1711" s="514"/>
      <c r="X1711" s="513"/>
      <c r="Z1711" s="518">
        <v>4</v>
      </c>
    </row>
    <row r="1712" spans="1:26" ht="15">
      <c r="A1712" s="28" t="s">
        <v>930</v>
      </c>
      <c r="B1712" s="278" t="s">
        <v>2054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515">
        <v>137.4</v>
      </c>
      <c r="N1712" s="67">
        <f>SUM(E1712:L1712)</f>
        <v>252.3999999999991</v>
      </c>
      <c r="T1712" s="513"/>
      <c r="U1712" s="513"/>
      <c r="V1712" s="361"/>
      <c r="W1712" s="514"/>
      <c r="X1712" s="513"/>
      <c r="Z1712" s="518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>SUM(E1713:L1713)</f>
        <v>251.19999999999908</v>
      </c>
      <c r="P1713" t="s">
        <v>282</v>
      </c>
      <c r="S1713" s="3" t="s">
        <v>1767</v>
      </c>
      <c r="T1713" s="225"/>
      <c r="U1713" s="513"/>
      <c r="V1713" s="348"/>
      <c r="W1713" s="514"/>
      <c r="X1713" s="513"/>
      <c r="Z1713" s="518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>SUM(E1714:L1714)</f>
        <v>225.60000000000127</v>
      </c>
      <c r="T1714" s="517"/>
      <c r="U1714" s="513"/>
      <c r="V1714" s="348"/>
      <c r="W1714" s="514"/>
      <c r="X1714" s="513"/>
      <c r="Z1714" s="518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>SUM(E1715:L1715)</f>
        <v>216.6</v>
      </c>
      <c r="P1715" t="s">
        <v>298</v>
      </c>
      <c r="T1715" s="513"/>
      <c r="U1715" s="513"/>
      <c r="V1715" s="348"/>
      <c r="W1715" s="514"/>
      <c r="X1715" s="513"/>
      <c r="Z1715" s="518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>SUM(E1716:L1716)</f>
        <v>215.50000000000091</v>
      </c>
      <c r="T1716" s="516"/>
      <c r="U1716" s="513"/>
      <c r="V1716" s="349"/>
      <c r="W1716" s="514"/>
      <c r="X1716" s="513"/>
      <c r="Z1716" s="518">
        <v>83</v>
      </c>
    </row>
    <row r="1717" spans="1:26" ht="15">
      <c r="A1717" s="28" t="s">
        <v>935</v>
      </c>
      <c r="B1717" s="63" t="s">
        <v>3378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515">
        <v>201.3</v>
      </c>
      <c r="M1717" s="67"/>
      <c r="N1717" s="67">
        <f>SUM(E1717:L1717)</f>
        <v>201.3</v>
      </c>
      <c r="S1717" s="63"/>
      <c r="T1717" s="516"/>
      <c r="U1717" s="513"/>
      <c r="V1717" s="348"/>
      <c r="W1717" s="514"/>
      <c r="X1717" s="513"/>
      <c r="Z1717" s="518">
        <v>63</v>
      </c>
    </row>
    <row r="1718" spans="1:26" ht="15">
      <c r="A1718" s="28" t="s">
        <v>2505</v>
      </c>
      <c r="B1718" s="63" t="s">
        <v>3403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515">
        <v>195.5</v>
      </c>
      <c r="M1718" s="67"/>
      <c r="N1718" s="67">
        <f>SUM(E1718:L1718)</f>
        <v>195.5</v>
      </c>
      <c r="S1718" s="63"/>
      <c r="T1718" s="63"/>
    </row>
    <row r="1719" spans="1:26" ht="15">
      <c r="A1719" s="28" t="s">
        <v>3323</v>
      </c>
      <c r="B1719" s="278" t="s">
        <v>2032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>SUM(E1719:L1719)</f>
        <v>194.95000000000073</v>
      </c>
    </row>
    <row r="1720" spans="1:26" ht="15">
      <c r="A1720" s="28" t="s">
        <v>3324</v>
      </c>
      <c r="B1720" s="278" t="s">
        <v>3373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515">
        <v>193.8</v>
      </c>
      <c r="M1720" s="67"/>
      <c r="N1720" s="67">
        <f>SUM(E1720:L1720)</f>
        <v>193.8</v>
      </c>
      <c r="S1720" s="63"/>
    </row>
    <row r="1721" spans="1:26" ht="15">
      <c r="A1721" s="28" t="s">
        <v>3325</v>
      </c>
      <c r="B1721" s="63" t="s">
        <v>3388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515">
        <v>190.5</v>
      </c>
      <c r="M1721" s="67"/>
      <c r="N1721" s="67">
        <f>SUM(E1721:L1721)</f>
        <v>190.5</v>
      </c>
      <c r="S1721" s="63"/>
    </row>
    <row r="1722" spans="1:26" ht="15">
      <c r="A1722" s="28" t="s">
        <v>3326</v>
      </c>
      <c r="B1722" s="63" t="s">
        <v>3406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515">
        <v>188.8</v>
      </c>
      <c r="M1722" s="67"/>
      <c r="N1722" s="67">
        <f>SUM(E1722:L1722)</f>
        <v>188.8</v>
      </c>
      <c r="S1722" s="63"/>
    </row>
    <row r="1723" spans="1:26" ht="15">
      <c r="A1723" s="28" t="s">
        <v>3327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515">
        <v>42</v>
      </c>
      <c r="N1723" s="67">
        <f>SUM(E1723:L1723)</f>
        <v>186.40000000000236</v>
      </c>
    </row>
    <row r="1724" spans="1:26" ht="15">
      <c r="A1724" s="28" t="s">
        <v>3328</v>
      </c>
      <c r="B1724" s="63" t="s">
        <v>3377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515">
        <v>183.3</v>
      </c>
      <c r="M1724" s="67"/>
      <c r="N1724" s="67">
        <f>SUM(E1724:L1724)</f>
        <v>183.3</v>
      </c>
      <c r="S1724" s="63"/>
    </row>
    <row r="1725" spans="1:26" ht="15">
      <c r="A1725" s="28" t="s">
        <v>3329</v>
      </c>
      <c r="B1725" s="63" t="s">
        <v>3384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515">
        <v>176.9</v>
      </c>
      <c r="M1725" s="67"/>
      <c r="N1725" s="67">
        <f>SUM(E1725:L1725)</f>
        <v>176.9</v>
      </c>
      <c r="S1725" s="63"/>
    </row>
    <row r="1726" spans="1:26" ht="15">
      <c r="A1726" s="28" t="s">
        <v>3330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>SUM(E1726:L1726)</f>
        <v>175.10000000000127</v>
      </c>
    </row>
    <row r="1727" spans="1:26" ht="15">
      <c r="A1727" s="28" t="s">
        <v>3331</v>
      </c>
      <c r="B1727" s="278" t="s">
        <v>2033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>SUM(E1727:L1727)</f>
        <v>153.99999999999909</v>
      </c>
    </row>
    <row r="1728" spans="1:26" ht="15">
      <c r="A1728" s="28" t="s">
        <v>3332</v>
      </c>
      <c r="B1728" s="63" t="s">
        <v>3402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515">
        <v>140.6</v>
      </c>
      <c r="M1728" s="67"/>
      <c r="N1728" s="67">
        <f>SUM(E1728:L1728)</f>
        <v>140.6</v>
      </c>
      <c r="S1728" s="63"/>
    </row>
    <row r="1729" spans="1:19" ht="15">
      <c r="A1729" s="28" t="s">
        <v>3333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>SUM(E1729:L1729)</f>
        <v>115.50000000000091</v>
      </c>
    </row>
    <row r="1730" spans="1:19" ht="15">
      <c r="A1730" s="28" t="s">
        <v>3334</v>
      </c>
      <c r="B1730" s="63" t="s">
        <v>3376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515">
        <v>105.39999999999999</v>
      </c>
      <c r="M1730" s="67"/>
      <c r="N1730" s="67">
        <f>SUM(E1730:L1730)</f>
        <v>105.39999999999999</v>
      </c>
      <c r="S1730" s="63"/>
    </row>
    <row r="1731" spans="1:19" ht="15">
      <c r="A1731" s="28" t="s">
        <v>3335</v>
      </c>
      <c r="B1731" s="63" t="s">
        <v>3375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515">
        <v>86.5</v>
      </c>
      <c r="M1731" s="67"/>
      <c r="N1731" s="67">
        <f>SUM(E1731:L1731)</f>
        <v>86.5</v>
      </c>
      <c r="S1731" s="63"/>
    </row>
    <row r="1732" spans="1:19" ht="15">
      <c r="A1732" s="28" t="s">
        <v>3336</v>
      </c>
      <c r="B1732" s="63" t="s">
        <v>3387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515">
        <v>82.5</v>
      </c>
      <c r="M1732" s="67"/>
      <c r="N1732" s="67">
        <f>SUM(E1732:L1732)</f>
        <v>82.5</v>
      </c>
      <c r="S1732" s="63"/>
    </row>
    <row r="1733" spans="1:19" ht="15">
      <c r="A1733" s="28" t="s">
        <v>3337</v>
      </c>
      <c r="B1733" s="63" t="s">
        <v>3379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515">
        <v>81.8</v>
      </c>
      <c r="M1733" s="67"/>
      <c r="N1733" s="67">
        <f>SUM(E1733:L1733)</f>
        <v>81.8</v>
      </c>
      <c r="S1733" s="63"/>
    </row>
    <row r="1734" spans="1:19" ht="15">
      <c r="A1734" s="28" t="s">
        <v>3338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>SUM(E1734:L1734)</f>
        <v>68.099999999999454</v>
      </c>
    </row>
    <row r="1735" spans="1:19" ht="15">
      <c r="A1735" s="28" t="s">
        <v>3339</v>
      </c>
      <c r="B1735" s="63" t="s">
        <v>3385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515">
        <v>65.099999999999994</v>
      </c>
      <c r="M1735" s="67"/>
      <c r="N1735" s="67">
        <f>SUM(E1735:L1735)</f>
        <v>65.099999999999994</v>
      </c>
      <c r="S1735" s="63"/>
    </row>
    <row r="1736" spans="1:19" ht="15">
      <c r="A1736" s="28" t="s">
        <v>3340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515">
        <v>62.400000000000006</v>
      </c>
      <c r="M1736" s="67"/>
      <c r="N1736" s="67">
        <f>SUM(E1736:L1736)</f>
        <v>62.400000000000006</v>
      </c>
      <c r="S1736" s="63"/>
    </row>
    <row r="1737" spans="1:19" ht="15">
      <c r="A1737" s="28" t="s">
        <v>3341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>SUM(E1737:L1737)</f>
        <v>24</v>
      </c>
      <c r="P1737" t="s">
        <v>288</v>
      </c>
    </row>
    <row r="1738" spans="1:19" ht="15">
      <c r="A1738" s="28" t="s">
        <v>3342</v>
      </c>
      <c r="B1738" s="278" t="s">
        <v>2008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>SUM(E1738:L1738)</f>
        <v>14.000000000000909</v>
      </c>
    </row>
    <row r="1739" spans="1:19" ht="15">
      <c r="A1739" s="28" t="s">
        <v>3343</v>
      </c>
      <c r="B1739" s="278" t="s">
        <v>2014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>SUM(E1739:L1739)</f>
        <v>5.2000000000025466</v>
      </c>
    </row>
    <row r="1740" spans="1:19" ht="15">
      <c r="A1740" s="28" t="s">
        <v>3344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>SUM(E1740:L1740)</f>
        <v>0</v>
      </c>
    </row>
    <row r="1741" spans="1:19" ht="15">
      <c r="A1741" s="28" t="s">
        <v>3345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>SUM(E1741:L1741)</f>
        <v>0</v>
      </c>
    </row>
    <row r="1742" spans="1:19" ht="15">
      <c r="A1742" s="28" t="s">
        <v>3346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>SUM(E1742:L1742)</f>
        <v>0</v>
      </c>
    </row>
    <row r="1743" spans="1:19" ht="15">
      <c r="A1743" s="28" t="s">
        <v>4138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>SUM(E1743:L1743)</f>
        <v>0</v>
      </c>
    </row>
    <row r="1744" spans="1:19" ht="15">
      <c r="A1744" s="28" t="s">
        <v>4139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>SUM(E1744:L1744)</f>
        <v>0</v>
      </c>
    </row>
    <row r="1745" spans="1:25" ht="15">
      <c r="A1745" s="28" t="s">
        <v>4140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>SUM(E1745:L1745)</f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515">
        <v>524.10000000000036</v>
      </c>
      <c r="N1752" s="67">
        <f>SUM(E1752:L1752)</f>
        <v>3025.2500000000036</v>
      </c>
      <c r="P1752" t="s">
        <v>2474</v>
      </c>
      <c r="S1752" s="3" t="s">
        <v>1768</v>
      </c>
      <c r="T1752" s="513"/>
      <c r="U1752" s="513"/>
      <c r="V1752" s="361"/>
      <c r="W1752" s="514"/>
      <c r="X1752" s="513"/>
      <c r="Y1752" s="515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515">
        <v>452.49999999999818</v>
      </c>
      <c r="N1753" s="67">
        <f>SUM(E1753:L1753)</f>
        <v>2918.6999999999939</v>
      </c>
      <c r="P1753" t="s">
        <v>292</v>
      </c>
      <c r="T1753" s="516"/>
      <c r="U1753" s="513"/>
      <c r="V1753" s="348"/>
      <c r="W1753" s="514"/>
      <c r="X1753" s="513"/>
      <c r="Y1753" s="515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515">
        <v>500.49999999999909</v>
      </c>
      <c r="N1754" s="67">
        <f>SUM(E1754:L1754)</f>
        <v>2910.0999999999972</v>
      </c>
      <c r="P1754" t="s">
        <v>2595</v>
      </c>
      <c r="T1754" s="225"/>
      <c r="U1754" s="513"/>
      <c r="V1754" s="348"/>
      <c r="W1754" s="514"/>
      <c r="X1754" s="513"/>
      <c r="Y1754" s="515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515">
        <v>565.10000000000127</v>
      </c>
      <c r="N1755" s="67">
        <f>SUM(E1755:L1755)</f>
        <v>2774.6500000000024</v>
      </c>
      <c r="P1755" t="s">
        <v>294</v>
      </c>
      <c r="T1755" s="516"/>
      <c r="U1755" s="513"/>
      <c r="V1755" s="348"/>
      <c r="W1755" s="514"/>
      <c r="X1755" s="513"/>
      <c r="Y1755" s="515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515">
        <v>488.5</v>
      </c>
      <c r="N1756" s="67">
        <f>SUM(E1756:L1756)</f>
        <v>2734.6</v>
      </c>
      <c r="P1756" t="s">
        <v>298</v>
      </c>
      <c r="T1756" s="225"/>
      <c r="U1756" s="513"/>
      <c r="V1756" s="348"/>
      <c r="W1756" s="514"/>
      <c r="X1756" s="513"/>
      <c r="Y1756" s="515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515">
        <v>395.5</v>
      </c>
      <c r="N1757" s="67">
        <f>SUM(E1757:L1757)</f>
        <v>2680.4999999999955</v>
      </c>
      <c r="P1757" t="s">
        <v>2476</v>
      </c>
      <c r="T1757" s="225"/>
      <c r="U1757" s="513"/>
      <c r="V1757" s="348"/>
      <c r="W1757" s="514"/>
      <c r="X1757" s="513"/>
      <c r="Y1757" s="515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515">
        <v>522.90000000000146</v>
      </c>
      <c r="N1758" s="67">
        <f>SUM(E1758:L1758)</f>
        <v>2644.3000000000038</v>
      </c>
      <c r="P1758" t="s">
        <v>312</v>
      </c>
      <c r="T1758" s="513"/>
      <c r="U1758" s="513"/>
      <c r="V1758" s="361"/>
      <c r="W1758" s="514"/>
      <c r="X1758" s="513"/>
      <c r="Y1758" s="515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515">
        <v>436.30000000000109</v>
      </c>
      <c r="N1759" s="67">
        <f>SUM(E1759:L1759)</f>
        <v>2618.3999999999969</v>
      </c>
      <c r="P1759" t="s">
        <v>301</v>
      </c>
      <c r="T1759" s="516"/>
      <c r="U1759" s="513"/>
      <c r="V1759" s="348"/>
      <c r="W1759" s="514"/>
      <c r="X1759" s="513"/>
      <c r="Y1759" s="515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515">
        <v>518.30000000000018</v>
      </c>
      <c r="N1760" s="67">
        <f>SUM(E1760:L1760)</f>
        <v>2606.399999999996</v>
      </c>
      <c r="P1760" t="s">
        <v>294</v>
      </c>
      <c r="T1760" s="516"/>
      <c r="U1760" s="513"/>
      <c r="V1760" s="348"/>
      <c r="W1760" s="514"/>
      <c r="X1760" s="513"/>
      <c r="Y1760" s="515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515">
        <v>416</v>
      </c>
      <c r="N1761" s="67">
        <f>SUM(E1761:L1761)</f>
        <v>2575.2000000000025</v>
      </c>
      <c r="P1761" t="s">
        <v>326</v>
      </c>
      <c r="T1761" s="513"/>
      <c r="U1761" s="513"/>
      <c r="V1761" s="361"/>
      <c r="W1761" s="514"/>
      <c r="X1761" s="513"/>
      <c r="Y1761" s="515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515">
        <v>615.49999999999909</v>
      </c>
      <c r="N1762" s="67">
        <f>SUM(E1762:L1762)</f>
        <v>2492.3000000000029</v>
      </c>
      <c r="P1762" t="s">
        <v>283</v>
      </c>
      <c r="T1762" s="225"/>
      <c r="U1762" s="513"/>
      <c r="V1762" s="348"/>
      <c r="W1762" s="514"/>
      <c r="X1762" s="513"/>
      <c r="Y1762" s="515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515">
        <v>568.5</v>
      </c>
      <c r="N1763" s="67">
        <f>SUM(E1763:L1763)</f>
        <v>2475.6999999999998</v>
      </c>
      <c r="P1763" t="s">
        <v>372</v>
      </c>
      <c r="S1763" s="216" t="s">
        <v>1769</v>
      </c>
      <c r="T1763" s="513"/>
      <c r="U1763" s="513"/>
      <c r="V1763" s="348"/>
      <c r="W1763" s="514"/>
      <c r="X1763" s="513"/>
      <c r="Y1763" s="515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515">
        <v>349.99999999999909</v>
      </c>
      <c r="N1764" s="67">
        <f>SUM(E1764:L1764)</f>
        <v>2449.2999999999975</v>
      </c>
      <c r="P1764" t="s">
        <v>281</v>
      </c>
      <c r="S1764" s="3" t="s">
        <v>1769</v>
      </c>
      <c r="T1764" s="516"/>
      <c r="U1764" s="513"/>
      <c r="V1764" s="348"/>
      <c r="W1764" s="514"/>
      <c r="X1764" s="513"/>
      <c r="Y1764" s="515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515">
        <v>495.00000000000182</v>
      </c>
      <c r="N1765" s="67">
        <f>SUM(E1765:L1765)</f>
        <v>2411.8000000000047</v>
      </c>
      <c r="P1765" t="s">
        <v>289</v>
      </c>
      <c r="T1765" s="513"/>
      <c r="U1765" s="513"/>
      <c r="V1765" s="348"/>
      <c r="W1765" s="514"/>
      <c r="X1765" s="513"/>
      <c r="Y1765" s="515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515">
        <v>403.59999999999854</v>
      </c>
      <c r="N1766" s="67">
        <f>SUM(E1766:L1766)</f>
        <v>2323.9999999999909</v>
      </c>
      <c r="P1766" t="s">
        <v>298</v>
      </c>
      <c r="T1766" s="516"/>
      <c r="U1766" s="513"/>
      <c r="V1766" s="348"/>
      <c r="W1766" s="514"/>
      <c r="X1766" s="513"/>
      <c r="Y1766" s="515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515">
        <v>580.29999999999563</v>
      </c>
      <c r="N1767" s="67">
        <f>SUM(E1767:L1767)</f>
        <v>2317.3999999999955</v>
      </c>
      <c r="P1767" t="s">
        <v>293</v>
      </c>
      <c r="T1767" s="513"/>
      <c r="U1767" s="513"/>
      <c r="V1767" s="361"/>
      <c r="W1767" s="514"/>
      <c r="X1767" s="513"/>
      <c r="Y1767" s="515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515">
        <v>519.69999999999982</v>
      </c>
      <c r="N1768" s="67">
        <f>SUM(E1768:L1768)</f>
        <v>2311.0500000000011</v>
      </c>
      <c r="P1768" t="s">
        <v>373</v>
      </c>
      <c r="T1768" s="513"/>
      <c r="U1768" s="513"/>
      <c r="V1768" s="348"/>
      <c r="W1768" s="514"/>
      <c r="X1768" s="513"/>
      <c r="Y1768" s="515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515">
        <v>517.59999999999945</v>
      </c>
      <c r="N1769" s="67">
        <f>SUM(E1769:L1769)</f>
        <v>2309.7999999999993</v>
      </c>
      <c r="P1769" t="s">
        <v>284</v>
      </c>
      <c r="T1769" s="516"/>
      <c r="U1769" s="513"/>
      <c r="V1769" s="348"/>
      <c r="W1769" s="514"/>
      <c r="X1769" s="513"/>
      <c r="Y1769" s="515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515">
        <v>380.29999999999836</v>
      </c>
      <c r="N1770" s="67">
        <f>SUM(E1770:L1770)</f>
        <v>2299.7999999999975</v>
      </c>
      <c r="P1770" t="s">
        <v>283</v>
      </c>
      <c r="T1770" s="513"/>
      <c r="U1770" s="513"/>
      <c r="V1770" s="361"/>
      <c r="W1770" s="514"/>
      <c r="X1770" s="513"/>
      <c r="Y1770" s="515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522">
        <v>665.90000000000146</v>
      </c>
      <c r="N1771" s="67">
        <f>SUM(E1771:L1771)</f>
        <v>2271.9500000000035</v>
      </c>
      <c r="P1771" t="s">
        <v>2564</v>
      </c>
      <c r="S1771" s="216" t="s">
        <v>1769</v>
      </c>
      <c r="T1771" s="513"/>
      <c r="U1771" s="513"/>
      <c r="V1771" s="361"/>
      <c r="W1771" s="514"/>
      <c r="X1771" s="513"/>
      <c r="Y1771" s="515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>SUM(E1772:L1772)</f>
        <v>2257.5499999999984</v>
      </c>
      <c r="P1772" t="s">
        <v>2475</v>
      </c>
      <c r="T1772" s="516"/>
      <c r="U1772" s="513"/>
      <c r="V1772" s="349"/>
      <c r="W1772" s="514"/>
      <c r="X1772" s="513"/>
      <c r="Y1772" s="515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515">
        <v>574</v>
      </c>
      <c r="N1773" s="67">
        <f>SUM(E1773:L1773)</f>
        <v>2174.5000000000091</v>
      </c>
      <c r="P1773" t="s">
        <v>301</v>
      </c>
      <c r="T1773" s="516"/>
      <c r="U1773" s="513"/>
      <c r="V1773" s="348"/>
      <c r="W1773" s="514"/>
      <c r="X1773" s="513"/>
      <c r="Y1773" s="515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515">
        <v>407.5</v>
      </c>
      <c r="N1774" s="67">
        <f>SUM(E1774:L1774)</f>
        <v>2164.0000000000018</v>
      </c>
      <c r="T1774" s="516"/>
      <c r="U1774" s="513"/>
      <c r="V1774" s="348"/>
      <c r="W1774" s="514"/>
      <c r="X1774" s="513"/>
      <c r="Y1774" s="515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>SUM(E1775:L1775)</f>
        <v>2007.0000000000034</v>
      </c>
      <c r="P1775" t="s">
        <v>325</v>
      </c>
      <c r="S1775" s="3" t="s">
        <v>1769</v>
      </c>
      <c r="T1775" s="513"/>
      <c r="U1775" s="513"/>
      <c r="V1775" s="361"/>
      <c r="W1775" s="514"/>
      <c r="X1775" s="513"/>
      <c r="Y1775" s="515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515">
        <v>345.80000000000109</v>
      </c>
      <c r="N1776" s="67">
        <f>SUM(E1776:L1776)</f>
        <v>1967.6999999999989</v>
      </c>
      <c r="P1776" t="s">
        <v>379</v>
      </c>
      <c r="T1776" s="516"/>
      <c r="U1776" s="513"/>
      <c r="V1776" s="348"/>
      <c r="W1776" s="514"/>
      <c r="X1776" s="513"/>
      <c r="Y1776" s="515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515">
        <v>453.40000000000055</v>
      </c>
      <c r="N1777" s="67">
        <f>SUM(E1777:L1777)</f>
        <v>1935.5999999999967</v>
      </c>
      <c r="T1777" s="225"/>
      <c r="U1777" s="513"/>
      <c r="V1777" s="348"/>
      <c r="W1777" s="514"/>
      <c r="X1777" s="513"/>
      <c r="Y1777" s="515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515">
        <v>556.20000000000073</v>
      </c>
      <c r="N1778" s="67">
        <f>SUM(E1778:L1778)</f>
        <v>1919.8499999999922</v>
      </c>
      <c r="T1778" s="513"/>
      <c r="U1778" s="513"/>
      <c r="V1778" s="348"/>
      <c r="W1778" s="514"/>
      <c r="X1778" s="513"/>
      <c r="Y1778" s="515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515">
        <v>489.19999999999891</v>
      </c>
      <c r="N1779" s="67">
        <f>SUM(E1779:L1779)</f>
        <v>1884.4999999999945</v>
      </c>
      <c r="P1779" t="s">
        <v>298</v>
      </c>
      <c r="T1779" s="516"/>
      <c r="U1779" s="513"/>
      <c r="V1779" s="348"/>
      <c r="W1779" s="514"/>
      <c r="X1779" s="513"/>
      <c r="Y1779" s="515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515">
        <v>175.29999999999973</v>
      </c>
      <c r="N1780" s="67">
        <f>SUM(E1780:L1780)</f>
        <v>1830.7500000000014</v>
      </c>
      <c r="P1780" t="s">
        <v>283</v>
      </c>
      <c r="T1780" s="513"/>
      <c r="U1780" s="513"/>
      <c r="V1780" s="361"/>
      <c r="W1780" s="514"/>
      <c r="X1780" s="513"/>
      <c r="Y1780" s="515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515">
        <v>383.00000000000182</v>
      </c>
      <c r="N1781" s="67">
        <f>SUM(E1781:L1781)</f>
        <v>1828.3000000000022</v>
      </c>
      <c r="P1781" t="s">
        <v>283</v>
      </c>
      <c r="T1781" s="516"/>
      <c r="U1781" s="513"/>
      <c r="V1781" s="349"/>
      <c r="W1781" s="514"/>
      <c r="X1781" s="513"/>
      <c r="Y1781" s="515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515">
        <v>556.70000000000073</v>
      </c>
      <c r="N1782" s="67">
        <f>SUM(E1782:L1782)</f>
        <v>1822.8999999999942</v>
      </c>
      <c r="P1782" t="s">
        <v>284</v>
      </c>
      <c r="T1782" s="516"/>
      <c r="U1782" s="513"/>
      <c r="V1782" s="349"/>
      <c r="W1782" s="514"/>
      <c r="X1782" s="513"/>
      <c r="Y1782" s="515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515">
        <v>522.5</v>
      </c>
      <c r="N1783" s="67">
        <f>SUM(E1783:L1783)</f>
        <v>1816.4999999999955</v>
      </c>
      <c r="P1783" t="s">
        <v>323</v>
      </c>
      <c r="T1783" s="513"/>
      <c r="U1783" s="513"/>
      <c r="V1783" s="348"/>
      <c r="W1783" s="514"/>
      <c r="X1783" s="513"/>
      <c r="Y1783" s="515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515">
        <v>477.70000000000255</v>
      </c>
      <c r="N1784" s="67">
        <f>SUM(E1784:L1784)</f>
        <v>1755.6000000000022</v>
      </c>
      <c r="T1784" s="516"/>
      <c r="U1784" s="513"/>
      <c r="V1784" s="348"/>
      <c r="W1784" s="514"/>
      <c r="X1784" s="513"/>
      <c r="Y1784" s="515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>SUM(E1785:L1785)</f>
        <v>1727.1500000000046</v>
      </c>
      <c r="P1785" t="s">
        <v>282</v>
      </c>
      <c r="S1785" s="3" t="s">
        <v>1769</v>
      </c>
      <c r="T1785" s="513"/>
      <c r="U1785" s="513"/>
      <c r="V1785" s="361"/>
      <c r="W1785" s="514"/>
      <c r="X1785" s="513"/>
      <c r="Y1785" s="515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515">
        <v>553.80000000000018</v>
      </c>
      <c r="N1786" s="67">
        <f>SUM(E1786:L1786)</f>
        <v>1723.7000000000053</v>
      </c>
      <c r="T1786" s="516"/>
      <c r="U1786" s="513"/>
      <c r="V1786" s="349"/>
      <c r="W1786" s="514"/>
      <c r="X1786" s="513"/>
      <c r="Y1786" s="515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515">
        <v>502.70000000000073</v>
      </c>
      <c r="N1787" s="67">
        <f>SUM(E1787:L1787)</f>
        <v>1719.1999999999998</v>
      </c>
      <c r="P1787" t="s">
        <v>301</v>
      </c>
      <c r="T1787" s="516"/>
      <c r="U1787" s="513"/>
      <c r="V1787" s="348"/>
      <c r="W1787" s="514"/>
      <c r="X1787" s="513"/>
      <c r="Y1787" s="515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515">
        <v>387.70000000000073</v>
      </c>
      <c r="N1788" s="67">
        <f>SUM(E1788:L1788)</f>
        <v>1672.9000000000033</v>
      </c>
      <c r="T1788" s="513"/>
      <c r="U1788" s="513"/>
      <c r="V1788" s="348"/>
      <c r="W1788" s="514"/>
      <c r="X1788" s="513"/>
      <c r="Y1788" s="515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>SUM(E1789:L1789)</f>
        <v>1645.8000000000043</v>
      </c>
      <c r="P1789" t="s">
        <v>289</v>
      </c>
      <c r="T1789" s="513"/>
      <c r="U1789" s="513"/>
      <c r="V1789" s="348"/>
      <c r="W1789" s="514"/>
      <c r="X1789" s="513"/>
      <c r="Y1789" s="515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515">
        <v>630.00000000000182</v>
      </c>
      <c r="N1790" s="67">
        <f>SUM(E1790:L1790)</f>
        <v>1585.2000000000071</v>
      </c>
      <c r="T1790" s="513"/>
      <c r="U1790" s="513"/>
      <c r="V1790" s="361"/>
      <c r="W1790" s="514"/>
      <c r="X1790" s="513"/>
      <c r="Y1790" s="515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515">
        <v>435</v>
      </c>
      <c r="N1791" s="67">
        <f>SUM(E1791:L1791)</f>
        <v>1571.949999999998</v>
      </c>
      <c r="T1791" s="513"/>
      <c r="U1791" s="513"/>
      <c r="V1791" s="361"/>
      <c r="W1791" s="514"/>
      <c r="X1791" s="513"/>
      <c r="Y1791" s="515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515">
        <v>593.69999999999982</v>
      </c>
      <c r="N1792" s="67">
        <f>SUM(E1792:L1792)</f>
        <v>1544.3500000000049</v>
      </c>
      <c r="T1792" s="513"/>
      <c r="U1792" s="513"/>
      <c r="V1792" s="361"/>
      <c r="W1792" s="514"/>
      <c r="X1792" s="513"/>
      <c r="Y1792" s="515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>SUM(E1793:L1793)</f>
        <v>1508.000000000002</v>
      </c>
      <c r="T1793" s="225"/>
      <c r="U1793" s="513"/>
      <c r="V1793" s="348"/>
      <c r="W1793" s="514"/>
      <c r="X1793" s="513"/>
      <c r="Y1793" s="515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515">
        <v>504.99999999999909</v>
      </c>
      <c r="N1794" s="67">
        <f>SUM(E1794:L1794)</f>
        <v>1416.800000000002</v>
      </c>
      <c r="T1794" s="513"/>
      <c r="U1794" s="513"/>
      <c r="V1794" s="361"/>
      <c r="W1794" s="514"/>
      <c r="X1794" s="513"/>
      <c r="Y1794" s="515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515">
        <v>270.00000000000182</v>
      </c>
      <c r="N1795" s="67">
        <f>SUM(E1795:L1795)</f>
        <v>1397.8499999999985</v>
      </c>
      <c r="T1795" s="516"/>
      <c r="U1795" s="513"/>
      <c r="V1795" s="348"/>
      <c r="W1795" s="514"/>
      <c r="X1795" s="513"/>
      <c r="Y1795" s="515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515">
        <v>522.99999999999818</v>
      </c>
      <c r="N1796" s="67">
        <f>SUM(E1796:L1796)</f>
        <v>1370.0999999999949</v>
      </c>
      <c r="T1796" s="516"/>
      <c r="U1796" s="513"/>
      <c r="V1796" s="348"/>
      <c r="W1796" s="514"/>
      <c r="X1796" s="513"/>
      <c r="Y1796" s="515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515">
        <v>376</v>
      </c>
      <c r="N1797" s="67">
        <f>SUM(E1797:L1797)</f>
        <v>1362.4000000000051</v>
      </c>
      <c r="T1797" s="513"/>
      <c r="U1797" s="513"/>
      <c r="V1797" s="348"/>
      <c r="W1797" s="514"/>
      <c r="X1797" s="513"/>
      <c r="Y1797" s="515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520">
        <v>761.30000000000291</v>
      </c>
      <c r="N1798" s="67">
        <f>SUM(E1798:L1798)</f>
        <v>1344.8999999999969</v>
      </c>
      <c r="P1798" t="s">
        <v>301</v>
      </c>
      <c r="T1798" s="513"/>
      <c r="U1798" s="513"/>
      <c r="V1798" s="348"/>
      <c r="W1798" s="514"/>
      <c r="X1798" s="513"/>
      <c r="Y1798" s="515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515">
        <v>467.70000000000164</v>
      </c>
      <c r="N1799" s="67">
        <f>SUM(E1799:L1799)</f>
        <v>1342.3000000000011</v>
      </c>
      <c r="T1799" s="513"/>
      <c r="U1799" s="513"/>
      <c r="V1799" s="348"/>
      <c r="W1799" s="514"/>
      <c r="X1799" s="513"/>
      <c r="Y1799" s="515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515">
        <v>420.49999999999909</v>
      </c>
      <c r="N1800" s="67">
        <f>SUM(E1800:L1800)</f>
        <v>1285.9000000000024</v>
      </c>
      <c r="T1800" s="516"/>
      <c r="U1800" s="513"/>
      <c r="V1800" s="349"/>
      <c r="W1800" s="514"/>
      <c r="X1800" s="513"/>
      <c r="Y1800" s="515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515">
        <v>258.00000000000273</v>
      </c>
      <c r="N1801" s="67">
        <f>SUM(E1801:L1801)</f>
        <v>1246.6000000000085</v>
      </c>
      <c r="T1801" s="516"/>
      <c r="U1801" s="513"/>
      <c r="V1801" s="348"/>
      <c r="W1801" s="514"/>
      <c r="X1801" s="513"/>
      <c r="Y1801" s="515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515">
        <v>573.69999999999891</v>
      </c>
      <c r="N1802" s="67">
        <f>SUM(E1802:L1802)</f>
        <v>1242.8999999999992</v>
      </c>
      <c r="T1802" s="513"/>
      <c r="U1802" s="513"/>
      <c r="V1802" s="361"/>
      <c r="W1802" s="514"/>
      <c r="X1802" s="513"/>
      <c r="Y1802" s="515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>SUM(E1803:L1803)</f>
        <v>1234.2999999999997</v>
      </c>
      <c r="P1803" t="s">
        <v>301</v>
      </c>
      <c r="T1803" s="516"/>
      <c r="U1803" s="513"/>
      <c r="V1803" s="348"/>
      <c r="W1803" s="514"/>
      <c r="X1803" s="513"/>
      <c r="Y1803" s="515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515">
        <v>540.19999999999982</v>
      </c>
      <c r="N1804" s="67">
        <f>SUM(E1804:L1804)</f>
        <v>1205.2999999999984</v>
      </c>
      <c r="T1804" s="225"/>
      <c r="U1804" s="513"/>
      <c r="V1804" s="348"/>
      <c r="W1804" s="514"/>
      <c r="X1804" s="513"/>
      <c r="Y1804" s="515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515">
        <v>265.5</v>
      </c>
      <c r="N1805" s="67">
        <f>SUM(E1805:L1805)</f>
        <v>1203.1000000000022</v>
      </c>
      <c r="T1805" s="513"/>
      <c r="U1805" s="513"/>
      <c r="V1805" s="348"/>
      <c r="W1805" s="514"/>
      <c r="X1805" s="513"/>
      <c r="Y1805" s="515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515">
        <v>486.5</v>
      </c>
      <c r="N1806" s="67">
        <f>SUM(E1806:L1806)</f>
        <v>1201.300000000002</v>
      </c>
      <c r="T1806" s="513"/>
      <c r="U1806" s="513"/>
      <c r="V1806" s="361"/>
      <c r="W1806" s="514"/>
      <c r="X1806" s="513"/>
      <c r="Y1806" s="515"/>
    </row>
    <row r="1807" spans="1:25" ht="15">
      <c r="A1807" s="28" t="s">
        <v>795</v>
      </c>
      <c r="B1807" s="278" t="s">
        <v>2012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522">
        <v>669.90000000000327</v>
      </c>
      <c r="N1807" s="67">
        <f>SUM(E1807:L1807)</f>
        <v>1198.7500000000036</v>
      </c>
      <c r="P1807" t="s">
        <v>288</v>
      </c>
      <c r="T1807" s="513"/>
      <c r="U1807" s="513"/>
      <c r="V1807" s="361"/>
      <c r="W1807" s="514"/>
      <c r="X1807" s="513"/>
      <c r="Y1807" s="515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515">
        <v>418.199999999998</v>
      </c>
      <c r="N1808" s="67">
        <f>SUM(E1808:L1808)</f>
        <v>1155.0999999999913</v>
      </c>
      <c r="T1808" s="513"/>
      <c r="U1808" s="513"/>
      <c r="V1808" s="348"/>
      <c r="W1808" s="514"/>
      <c r="X1808" s="513"/>
      <c r="Y1808" s="515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515">
        <v>505.69999999999891</v>
      </c>
      <c r="N1809" s="67">
        <f>SUM(E1809:L1809)</f>
        <v>1127.0499999999965</v>
      </c>
      <c r="T1809" s="516"/>
      <c r="U1809" s="513"/>
      <c r="V1809" s="348"/>
      <c r="W1809" s="514"/>
      <c r="X1809" s="513"/>
      <c r="Y1809" s="515"/>
    </row>
    <row r="1810" spans="1:25" ht="15">
      <c r="A1810" s="28" t="s">
        <v>799</v>
      </c>
      <c r="B1810" s="278" t="s">
        <v>2022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522">
        <v>720.20000000000073</v>
      </c>
      <c r="N1810" s="67">
        <f>SUM(E1810:L1810)</f>
        <v>1112.6999999999998</v>
      </c>
      <c r="P1810" t="s">
        <v>285</v>
      </c>
      <c r="T1810" s="513"/>
      <c r="U1810" s="513"/>
      <c r="V1810" s="348"/>
      <c r="W1810" s="514"/>
      <c r="X1810" s="513"/>
      <c r="Y1810" s="515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>SUM(E1811:L1811)</f>
        <v>1094.8000000000002</v>
      </c>
      <c r="P1811" t="s">
        <v>293</v>
      </c>
      <c r="T1811" s="225"/>
      <c r="U1811" s="513"/>
      <c r="V1811" s="348"/>
      <c r="W1811" s="514"/>
      <c r="X1811" s="513"/>
      <c r="Y1811" s="515"/>
    </row>
    <row r="1812" spans="1:25" ht="15">
      <c r="A1812" s="28" t="s">
        <v>896</v>
      </c>
      <c r="B1812" s="278" t="s">
        <v>2011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515">
        <v>211.09999999999945</v>
      </c>
      <c r="N1812" s="67">
        <f>SUM(E1812:L1812)</f>
        <v>1085.0999999999995</v>
      </c>
      <c r="P1812" t="s">
        <v>285</v>
      </c>
      <c r="T1812" s="225"/>
      <c r="U1812" s="513"/>
      <c r="V1812" s="349"/>
      <c r="W1812" s="514"/>
      <c r="X1812" s="513"/>
      <c r="Y1812" s="515"/>
    </row>
    <row r="1813" spans="1:25" ht="15">
      <c r="A1813" s="28" t="s">
        <v>897</v>
      </c>
      <c r="B1813" s="278" t="s">
        <v>2010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515">
        <v>514.40000000000146</v>
      </c>
      <c r="N1813" s="67">
        <f>SUM(E1813:L1813)</f>
        <v>1081.4000000000015</v>
      </c>
      <c r="T1813" s="513"/>
      <c r="U1813" s="513"/>
      <c r="V1813" s="361"/>
      <c r="W1813" s="514"/>
      <c r="X1813" s="513"/>
      <c r="Y1813" s="515"/>
    </row>
    <row r="1814" spans="1:25" ht="15">
      <c r="A1814" s="28" t="s">
        <v>898</v>
      </c>
      <c r="B1814" s="278" t="s">
        <v>2007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515">
        <v>281.89999999999964</v>
      </c>
      <c r="N1814" s="67">
        <f>SUM(E1814:L1814)</f>
        <v>1058.4999999999991</v>
      </c>
      <c r="P1814" t="s">
        <v>293</v>
      </c>
      <c r="T1814" s="513"/>
      <c r="U1814" s="513"/>
      <c r="V1814" s="348"/>
      <c r="W1814" s="514"/>
      <c r="X1814" s="513"/>
      <c r="Y1814" s="515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>SUM(E1815:L1815)</f>
        <v>1051.4999999999982</v>
      </c>
      <c r="T1815" s="516"/>
      <c r="U1815" s="513"/>
      <c r="V1815" s="349"/>
      <c r="W1815" s="514"/>
      <c r="X1815" s="513"/>
      <c r="Y1815" s="515"/>
    </row>
    <row r="1816" spans="1:25" ht="15">
      <c r="A1816" s="28" t="s">
        <v>900</v>
      </c>
      <c r="B1816" s="278" t="s">
        <v>2029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515">
        <v>599.40000000000055</v>
      </c>
      <c r="N1816" s="67">
        <f>SUM(E1816:L1816)</f>
        <v>1051.1000000000013</v>
      </c>
      <c r="P1816" t="s">
        <v>289</v>
      </c>
      <c r="T1816" s="513"/>
      <c r="U1816" s="513"/>
      <c r="V1816" s="349"/>
      <c r="W1816" s="514"/>
      <c r="X1816" s="513"/>
      <c r="Y1816" s="515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515">
        <v>503.49999999999909</v>
      </c>
      <c r="N1817" s="67">
        <f>SUM(E1817:L1817)</f>
        <v>1046.8499999999958</v>
      </c>
      <c r="T1817" s="516"/>
      <c r="U1817" s="513"/>
      <c r="V1817" s="348"/>
      <c r="W1817" s="514"/>
      <c r="X1817" s="513"/>
      <c r="Y1817" s="515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>SUM(E1818:L1818)</f>
        <v>1041.9999999999998</v>
      </c>
      <c r="P1818" t="s">
        <v>293</v>
      </c>
      <c r="T1818" s="513"/>
      <c r="U1818" s="513"/>
      <c r="V1818" s="361"/>
      <c r="W1818" s="514"/>
      <c r="X1818" s="513"/>
      <c r="Y1818" s="515"/>
    </row>
    <row r="1819" spans="1:25" ht="15">
      <c r="A1819" s="28" t="s">
        <v>903</v>
      </c>
      <c r="B1819" s="278" t="s">
        <v>2028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515">
        <v>613.79999999999836</v>
      </c>
      <c r="N1819" s="67">
        <f>SUM(E1819:L1819)</f>
        <v>1028.4999999999945</v>
      </c>
      <c r="T1819" s="513"/>
      <c r="U1819" s="513"/>
      <c r="V1819" s="349"/>
      <c r="W1819" s="514"/>
      <c r="X1819" s="513"/>
      <c r="Y1819" s="515"/>
    </row>
    <row r="1820" spans="1:25" ht="15">
      <c r="A1820" s="28" t="s">
        <v>904</v>
      </c>
      <c r="B1820" s="278" t="s">
        <v>2027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522">
        <v>685.30000000000109</v>
      </c>
      <c r="N1820" s="67">
        <f>SUM(E1820:L1820)</f>
        <v>1022.8000000000038</v>
      </c>
      <c r="P1820" t="s">
        <v>293</v>
      </c>
      <c r="T1820" s="513"/>
      <c r="U1820" s="513"/>
      <c r="V1820" s="348"/>
      <c r="W1820" s="514"/>
      <c r="X1820" s="513"/>
      <c r="Y1820" s="515"/>
    </row>
    <row r="1821" spans="1:25" ht="15">
      <c r="A1821" s="28" t="s">
        <v>905</v>
      </c>
      <c r="B1821" s="278" t="s">
        <v>2030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515">
        <v>400.60000000000127</v>
      </c>
      <c r="N1821" s="67">
        <f>SUM(E1821:L1821)</f>
        <v>1009.1000000000022</v>
      </c>
      <c r="P1821" t="s">
        <v>301</v>
      </c>
      <c r="T1821" s="513"/>
      <c r="U1821" s="513"/>
      <c r="V1821" s="348"/>
      <c r="W1821" s="514"/>
      <c r="X1821" s="513"/>
      <c r="Y1821" s="515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515">
        <v>442.60000000000036</v>
      </c>
      <c r="N1822" s="67">
        <f>SUM(E1822:L1822)</f>
        <v>971.20000000000164</v>
      </c>
      <c r="T1822" s="225"/>
      <c r="U1822" s="513"/>
      <c r="V1822" s="348"/>
      <c r="W1822" s="514"/>
      <c r="X1822" s="513"/>
      <c r="Y1822" s="515"/>
    </row>
    <row r="1823" spans="1:25" ht="15">
      <c r="A1823" s="28" t="s">
        <v>907</v>
      </c>
      <c r="B1823" s="278" t="s">
        <v>2057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515">
        <v>406.49999999999909</v>
      </c>
      <c r="N1823" s="67">
        <f>SUM(E1823:L1823)</f>
        <v>971.09999999999945</v>
      </c>
      <c r="P1823" t="s">
        <v>298</v>
      </c>
      <c r="T1823" s="513"/>
      <c r="U1823" s="513"/>
      <c r="V1823" s="361"/>
      <c r="W1823" s="514"/>
      <c r="X1823" s="513"/>
      <c r="Y1823" s="515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>SUM(E1824:L1824)</f>
        <v>969.90000000000236</v>
      </c>
      <c r="P1824" t="s">
        <v>290</v>
      </c>
      <c r="T1824" s="516"/>
      <c r="U1824" s="513"/>
      <c r="V1824" s="348"/>
      <c r="W1824" s="514"/>
      <c r="X1824" s="513"/>
      <c r="Y1824" s="515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>SUM(E1825:L1825)</f>
        <v>942.69999999999709</v>
      </c>
      <c r="P1825" t="s">
        <v>339</v>
      </c>
      <c r="S1825" s="216" t="s">
        <v>1769</v>
      </c>
      <c r="T1825" s="516"/>
      <c r="U1825" s="513"/>
      <c r="V1825" s="348"/>
      <c r="W1825" s="514"/>
      <c r="X1825" s="513"/>
      <c r="Y1825" s="515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515">
        <v>309.09999999999945</v>
      </c>
      <c r="N1826" s="67">
        <f>SUM(E1826:L1826)</f>
        <v>927.50000000000273</v>
      </c>
      <c r="T1826" s="513"/>
      <c r="U1826" s="513"/>
      <c r="V1826" s="348"/>
      <c r="W1826" s="514"/>
      <c r="X1826" s="513"/>
      <c r="Y1826" s="515"/>
    </row>
    <row r="1827" spans="1:25" ht="15">
      <c r="A1827" s="28" t="s">
        <v>911</v>
      </c>
      <c r="B1827" s="278" t="s">
        <v>2015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515">
        <v>398.60000000000127</v>
      </c>
      <c r="N1827" s="67">
        <f>SUM(E1827:L1827)</f>
        <v>908.800000000002</v>
      </c>
      <c r="T1827" s="513"/>
      <c r="U1827" s="513"/>
      <c r="V1827" s="348"/>
      <c r="W1827" s="514"/>
      <c r="X1827" s="513"/>
      <c r="Y1827" s="515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>SUM(E1828:L1828)</f>
        <v>856.09999999999764</v>
      </c>
      <c r="P1828" t="s">
        <v>285</v>
      </c>
      <c r="T1828" s="516"/>
      <c r="U1828" s="513"/>
      <c r="V1828" s="348"/>
      <c r="W1828" s="514"/>
      <c r="X1828" s="513"/>
      <c r="Y1828" s="515"/>
    </row>
    <row r="1829" spans="1:25" ht="15">
      <c r="A1829" s="28" t="s">
        <v>913</v>
      </c>
      <c r="B1829" s="278" t="s">
        <v>2006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515">
        <v>443.90000000000236</v>
      </c>
      <c r="N1829" s="67">
        <f>SUM(E1829:L1829)</f>
        <v>810.00000000000273</v>
      </c>
      <c r="T1829" s="516"/>
      <c r="U1829" s="513"/>
      <c r="V1829" s="348"/>
      <c r="W1829" s="514"/>
      <c r="X1829" s="513"/>
      <c r="Y1829" s="515"/>
    </row>
    <row r="1830" spans="1:25" ht="15">
      <c r="A1830" s="28" t="s">
        <v>914</v>
      </c>
      <c r="B1830" s="63" t="s">
        <v>3391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519">
        <v>806.50000000000091</v>
      </c>
      <c r="M1830" s="67"/>
      <c r="N1830" s="67">
        <f>SUM(E1830:L1830)</f>
        <v>806.50000000000091</v>
      </c>
      <c r="P1830" t="s">
        <v>282</v>
      </c>
      <c r="S1830" s="216" t="s">
        <v>1769</v>
      </c>
      <c r="T1830" s="513"/>
      <c r="U1830" s="513"/>
      <c r="V1830" s="361"/>
      <c r="W1830" s="514"/>
      <c r="X1830" s="513"/>
      <c r="Y1830" s="515"/>
    </row>
    <row r="1831" spans="1:25" ht="15">
      <c r="A1831" s="28" t="s">
        <v>915</v>
      </c>
      <c r="B1831" s="278" t="s">
        <v>2054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515">
        <v>535.30000000000018</v>
      </c>
      <c r="N1831" s="67">
        <f>SUM(E1831:L1831)</f>
        <v>788.09999999999854</v>
      </c>
      <c r="T1831" s="513"/>
      <c r="U1831" s="513"/>
      <c r="V1831" s="348"/>
      <c r="W1831" s="514"/>
      <c r="X1831" s="513"/>
      <c r="Y1831" s="515"/>
    </row>
    <row r="1832" spans="1:25" ht="15">
      <c r="A1832" s="28" t="s">
        <v>916</v>
      </c>
      <c r="B1832" s="278" t="s">
        <v>2034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515">
        <v>482.5</v>
      </c>
      <c r="N1832" s="67">
        <f>SUM(E1832:L1832)</f>
        <v>777.20000000000164</v>
      </c>
      <c r="T1832" s="513"/>
      <c r="U1832" s="513"/>
      <c r="V1832" s="361"/>
      <c r="W1832" s="514"/>
      <c r="X1832" s="513"/>
      <c r="Y1832" s="515"/>
    </row>
    <row r="1833" spans="1:25" ht="15">
      <c r="A1833" s="28" t="s">
        <v>917</v>
      </c>
      <c r="B1833" s="63" t="s">
        <v>3389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521">
        <v>745.90000000000055</v>
      </c>
      <c r="M1833" s="67"/>
      <c r="N1833" s="67">
        <f>SUM(E1833:L1833)</f>
        <v>745.90000000000055</v>
      </c>
      <c r="P1833" t="s">
        <v>283</v>
      </c>
      <c r="T1833" s="516"/>
      <c r="U1833" s="513"/>
      <c r="V1833" s="348"/>
      <c r="W1833" s="514"/>
      <c r="X1833" s="513"/>
      <c r="Y1833" s="515"/>
    </row>
    <row r="1834" spans="1:25" ht="15">
      <c r="A1834" s="28" t="s">
        <v>918</v>
      </c>
      <c r="B1834" s="278" t="s">
        <v>4520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515">
        <v>504.29999999999745</v>
      </c>
      <c r="N1834" s="67">
        <f>SUM(E1834:L1834)</f>
        <v>740.25</v>
      </c>
      <c r="T1834" s="513"/>
      <c r="U1834" s="513"/>
      <c r="V1834" s="361"/>
      <c r="W1834" s="514"/>
      <c r="X1834" s="513"/>
      <c r="Y1834" s="515"/>
    </row>
    <row r="1835" spans="1:25" ht="15">
      <c r="A1835" s="28" t="s">
        <v>919</v>
      </c>
      <c r="B1835" s="63" t="s">
        <v>3407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522">
        <v>734.55000000000018</v>
      </c>
      <c r="M1835" s="67"/>
      <c r="N1835" s="67">
        <f>SUM(E1835:L1835)</f>
        <v>734.55000000000018</v>
      </c>
      <c r="P1835" t="s">
        <v>284</v>
      </c>
      <c r="T1835" s="516"/>
      <c r="U1835" s="513"/>
      <c r="V1835" s="349"/>
      <c r="W1835" s="514"/>
      <c r="X1835" s="513"/>
      <c r="Y1835" s="515"/>
    </row>
    <row r="1836" spans="1:25" ht="15">
      <c r="A1836" s="28" t="s">
        <v>920</v>
      </c>
      <c r="B1836" s="278" t="s">
        <v>2014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515">
        <v>427.49999999999909</v>
      </c>
      <c r="N1836" s="67">
        <f>SUM(E1836:L1836)</f>
        <v>722.59999999999854</v>
      </c>
      <c r="T1836" s="513"/>
      <c r="U1836" s="513"/>
      <c r="V1836" s="348"/>
      <c r="W1836" s="514"/>
      <c r="X1836" s="513"/>
      <c r="Y1836" s="515"/>
    </row>
    <row r="1837" spans="1:25" ht="15">
      <c r="A1837" s="28" t="s">
        <v>921</v>
      </c>
      <c r="B1837" s="278" t="s">
        <v>2013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>SUM(E1837:L1837)</f>
        <v>719.79999999999927</v>
      </c>
      <c r="T1837" s="513"/>
      <c r="U1837" s="513"/>
      <c r="V1837" s="361"/>
      <c r="W1837" s="514"/>
      <c r="X1837" s="513"/>
      <c r="Y1837" s="515"/>
    </row>
    <row r="1838" spans="1:25" ht="15">
      <c r="A1838" s="28" t="s">
        <v>922</v>
      </c>
      <c r="B1838" s="63" t="s">
        <v>3382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522">
        <v>717.79999999999927</v>
      </c>
      <c r="M1838" s="67"/>
      <c r="N1838" s="67">
        <f>SUM(E1838:L1838)</f>
        <v>717.79999999999927</v>
      </c>
      <c r="P1838" t="s">
        <v>298</v>
      </c>
      <c r="T1838" s="513"/>
      <c r="U1838" s="513"/>
      <c r="V1838" s="348"/>
      <c r="W1838" s="514"/>
      <c r="X1838" s="513"/>
      <c r="Y1838" s="515"/>
    </row>
    <row r="1839" spans="1:25" ht="15">
      <c r="A1839" s="28" t="s">
        <v>923</v>
      </c>
      <c r="B1839" s="63" t="s">
        <v>3390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522">
        <v>645.19999999999982</v>
      </c>
      <c r="M1839" s="67"/>
      <c r="N1839" s="67">
        <f>SUM(E1839:L1839)</f>
        <v>645.19999999999982</v>
      </c>
      <c r="P1839" t="s">
        <v>294</v>
      </c>
      <c r="T1839" s="513"/>
      <c r="U1839" s="513"/>
      <c r="V1839" s="349"/>
      <c r="W1839" s="514"/>
      <c r="X1839" s="513"/>
      <c r="Y1839" s="515"/>
    </row>
    <row r="1840" spans="1:25" ht="15">
      <c r="A1840" s="28" t="s">
        <v>924</v>
      </c>
      <c r="B1840" s="278" t="s">
        <v>2161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515">
        <v>471.49999999999818</v>
      </c>
      <c r="N1840" s="67">
        <f>SUM(E1840:L1840)</f>
        <v>644.59999999999764</v>
      </c>
      <c r="T1840" s="513"/>
      <c r="U1840" s="513"/>
      <c r="V1840" s="348"/>
      <c r="W1840" s="514"/>
      <c r="X1840" s="513"/>
      <c r="Y1840" s="515"/>
    </row>
    <row r="1841" spans="1:25" ht="15">
      <c r="A1841" s="28" t="s">
        <v>925</v>
      </c>
      <c r="B1841" s="278" t="s">
        <v>2031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515">
        <v>470</v>
      </c>
      <c r="N1841" s="67">
        <f>SUM(E1841:L1841)</f>
        <v>622.10000000000036</v>
      </c>
      <c r="T1841" s="517"/>
      <c r="U1841" s="513"/>
      <c r="V1841" s="348"/>
      <c r="W1841" s="514"/>
      <c r="X1841" s="513"/>
      <c r="Y1841" s="515"/>
    </row>
    <row r="1842" spans="1:25" ht="15">
      <c r="A1842" s="28" t="s">
        <v>926</v>
      </c>
      <c r="B1842" s="63" t="s">
        <v>3380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515">
        <v>613.85000000000127</v>
      </c>
      <c r="M1842" s="67"/>
      <c r="N1842" s="67">
        <f>SUM(E1842:L1842)</f>
        <v>613.85000000000127</v>
      </c>
      <c r="T1842" s="516"/>
      <c r="U1842" s="513"/>
      <c r="V1842" s="348"/>
      <c r="W1842" s="514"/>
      <c r="X1842" s="513"/>
      <c r="Y1842" s="515"/>
    </row>
    <row r="1843" spans="1:25" ht="15">
      <c r="A1843" s="28" t="s">
        <v>927</v>
      </c>
      <c r="B1843" s="63" t="s">
        <v>3406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515">
        <v>611.34999999999945</v>
      </c>
      <c r="M1843" s="67"/>
      <c r="N1843" s="67">
        <f>SUM(E1843:L1843)</f>
        <v>611.34999999999945</v>
      </c>
      <c r="T1843" s="225"/>
      <c r="U1843" s="513"/>
      <c r="V1843" s="348"/>
      <c r="W1843" s="514"/>
      <c r="X1843" s="513"/>
      <c r="Y1843" s="515"/>
    </row>
    <row r="1844" spans="1:25" ht="15">
      <c r="A1844" s="28" t="s">
        <v>928</v>
      </c>
      <c r="B1844" s="63" t="s">
        <v>3377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515">
        <v>600.10000000000127</v>
      </c>
      <c r="M1844" s="67"/>
      <c r="N1844" s="67">
        <f>SUM(E1844:L1844)</f>
        <v>600.10000000000127</v>
      </c>
      <c r="T1844" s="516"/>
      <c r="U1844" s="513"/>
      <c r="V1844" s="348"/>
      <c r="W1844" s="514"/>
      <c r="X1844" s="513"/>
      <c r="Y1844" s="515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>SUM(E1845:L1845)</f>
        <v>593.20000000000005</v>
      </c>
      <c r="P1845" t="s">
        <v>285</v>
      </c>
      <c r="T1845" s="513"/>
      <c r="U1845" s="513"/>
      <c r="V1845" s="361"/>
      <c r="W1845" s="514"/>
      <c r="X1845" s="513"/>
      <c r="Y1845" s="515"/>
    </row>
    <row r="1846" spans="1:25" ht="15">
      <c r="A1846" s="28" t="s">
        <v>930</v>
      </c>
      <c r="B1846" s="63" t="s">
        <v>3378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515">
        <v>588.85000000000218</v>
      </c>
      <c r="M1846" s="67"/>
      <c r="N1846" s="67">
        <f>SUM(E1846:L1846)</f>
        <v>588.85000000000218</v>
      </c>
      <c r="T1846" s="513"/>
      <c r="U1846" s="513"/>
      <c r="V1846" s="361"/>
      <c r="W1846" s="514"/>
      <c r="X1846" s="513"/>
      <c r="Y1846" s="515"/>
    </row>
    <row r="1847" spans="1:25" ht="15">
      <c r="A1847" s="28" t="s">
        <v>931</v>
      </c>
      <c r="B1847" s="63" t="s">
        <v>3402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515">
        <v>581.49999999999909</v>
      </c>
      <c r="M1847" s="67"/>
      <c r="N1847" s="67">
        <f>SUM(E1847:L1847)</f>
        <v>581.49999999999909</v>
      </c>
      <c r="T1847" s="225"/>
      <c r="U1847" s="513"/>
      <c r="V1847" s="348"/>
      <c r="W1847" s="514"/>
      <c r="X1847" s="513"/>
      <c r="Y1847" s="515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>SUM(E1848:L1848)</f>
        <v>578</v>
      </c>
      <c r="P1848" t="s">
        <v>285</v>
      </c>
      <c r="T1848" s="517"/>
      <c r="U1848" s="513"/>
      <c r="V1848" s="348"/>
      <c r="W1848" s="514"/>
      <c r="X1848" s="513"/>
      <c r="Y1848" s="515"/>
    </row>
    <row r="1849" spans="1:25" ht="15">
      <c r="A1849" s="28" t="s">
        <v>933</v>
      </c>
      <c r="B1849" s="63" t="s">
        <v>3381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515">
        <v>577.300000000002</v>
      </c>
      <c r="M1849" s="67"/>
      <c r="N1849" s="67">
        <f>SUM(E1849:L1849)</f>
        <v>577.300000000002</v>
      </c>
      <c r="T1849" s="513"/>
      <c r="U1849" s="513"/>
      <c r="V1849" s="348"/>
      <c r="W1849" s="514"/>
      <c r="X1849" s="513"/>
      <c r="Y1849" s="515"/>
    </row>
    <row r="1850" spans="1:25" ht="15">
      <c r="A1850" s="28" t="s">
        <v>934</v>
      </c>
      <c r="B1850" s="63" t="s">
        <v>3383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515">
        <v>575.99999999999909</v>
      </c>
      <c r="M1850" s="67"/>
      <c r="N1850" s="67">
        <f>SUM(E1850:L1850)</f>
        <v>575.99999999999909</v>
      </c>
      <c r="T1850" s="516"/>
      <c r="U1850" s="513"/>
      <c r="V1850" s="349"/>
      <c r="W1850" s="514"/>
      <c r="X1850" s="513"/>
      <c r="Y1850" s="515"/>
    </row>
    <row r="1851" spans="1:25" ht="15">
      <c r="A1851" s="28" t="s">
        <v>935</v>
      </c>
      <c r="B1851" s="278" t="s">
        <v>2056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515">
        <v>321.90000000000236</v>
      </c>
      <c r="N1851" s="67">
        <f>SUM(E1851:L1851)</f>
        <v>567.30000000000246</v>
      </c>
      <c r="T1851" s="516"/>
      <c r="U1851" s="513"/>
      <c r="V1851" s="348"/>
      <c r="W1851" s="514"/>
      <c r="X1851" s="513"/>
      <c r="Y1851" s="515"/>
    </row>
    <row r="1852" spans="1:25" ht="15">
      <c r="A1852" s="28" t="s">
        <v>2505</v>
      </c>
      <c r="B1852" s="63" t="s">
        <v>3405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515">
        <v>556.30000000000291</v>
      </c>
      <c r="M1852" s="67"/>
      <c r="N1852" s="67">
        <f>SUM(E1852:L1852)</f>
        <v>556.30000000000291</v>
      </c>
      <c r="T1852" s="82"/>
      <c r="U1852" s="3"/>
      <c r="V1852" s="79"/>
      <c r="W1852" s="67"/>
    </row>
    <row r="1853" spans="1:25" ht="15">
      <c r="A1853" s="28" t="s">
        <v>3323</v>
      </c>
      <c r="B1853" s="63" t="s">
        <v>3403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515">
        <v>556.19999999999982</v>
      </c>
      <c r="M1853" s="67"/>
      <c r="N1853" s="67">
        <f>SUM(E1853:L1853)</f>
        <v>556.19999999999982</v>
      </c>
      <c r="T1853" s="82"/>
      <c r="U1853" s="3"/>
      <c r="V1853" s="79"/>
      <c r="W1853" s="67"/>
    </row>
    <row r="1854" spans="1:25" ht="15">
      <c r="A1854" s="28" t="s">
        <v>3324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>SUM(E1854:L1854)</f>
        <v>538.89999999999964</v>
      </c>
      <c r="T1854" s="82"/>
      <c r="U1854" s="3"/>
      <c r="V1854" s="79"/>
      <c r="W1854" s="67"/>
    </row>
    <row r="1855" spans="1:25" ht="15">
      <c r="A1855" s="28" t="s">
        <v>3325</v>
      </c>
      <c r="B1855" s="63" t="s">
        <v>3387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515">
        <v>531.05000000000018</v>
      </c>
      <c r="M1855" s="67"/>
      <c r="N1855" s="67">
        <f>SUM(E1855:L1855)</f>
        <v>531.05000000000018</v>
      </c>
      <c r="T1855" s="82"/>
      <c r="U1855" s="3"/>
      <c r="V1855" s="79"/>
      <c r="W1855" s="67"/>
    </row>
    <row r="1856" spans="1:25" ht="15">
      <c r="A1856" s="28" t="s">
        <v>3326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515">
        <v>525.19999999999982</v>
      </c>
      <c r="M1856" s="67"/>
      <c r="N1856" s="67">
        <f>SUM(E1856:L1856)</f>
        <v>525.19999999999982</v>
      </c>
      <c r="T1856" s="82"/>
      <c r="U1856" s="3"/>
      <c r="V1856" s="79"/>
      <c r="W1856" s="67"/>
    </row>
    <row r="1857" spans="1:23" ht="15">
      <c r="A1857" s="28" t="s">
        <v>3327</v>
      </c>
      <c r="B1857" s="278" t="s">
        <v>3373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515">
        <v>514.60000000000218</v>
      </c>
      <c r="M1857" s="67"/>
      <c r="N1857" s="67">
        <f>SUM(E1857:L1857)</f>
        <v>514.60000000000218</v>
      </c>
      <c r="T1857" s="82"/>
      <c r="U1857" s="3"/>
      <c r="V1857" s="79"/>
      <c r="W1857" s="67"/>
    </row>
    <row r="1858" spans="1:23" ht="15">
      <c r="A1858" s="28" t="s">
        <v>3328</v>
      </c>
      <c r="B1858" s="63" t="s">
        <v>3384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515">
        <v>496.60000000000309</v>
      </c>
      <c r="M1858" s="67"/>
      <c r="N1858" s="67">
        <f>SUM(E1858:L1858)</f>
        <v>496.60000000000309</v>
      </c>
      <c r="T1858" s="82"/>
      <c r="U1858" s="3"/>
      <c r="V1858" s="79"/>
      <c r="W1858" s="67"/>
    </row>
    <row r="1859" spans="1:23" ht="15">
      <c r="A1859" s="28" t="s">
        <v>3329</v>
      </c>
      <c r="B1859" s="63" t="s">
        <v>3393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515">
        <v>484.600000000004</v>
      </c>
      <c r="M1859" s="67"/>
      <c r="N1859" s="67">
        <f>SUM(E1859:L1859)</f>
        <v>484.600000000004</v>
      </c>
      <c r="T1859" s="82"/>
      <c r="U1859" s="3"/>
      <c r="V1859" s="79"/>
      <c r="W1859" s="67"/>
    </row>
    <row r="1860" spans="1:23" ht="15">
      <c r="A1860" s="28" t="s">
        <v>3330</v>
      </c>
      <c r="B1860" s="63" t="s">
        <v>3375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515">
        <v>466.50000000000091</v>
      </c>
      <c r="M1860" s="67"/>
      <c r="N1860" s="67">
        <f>SUM(E1860:L1860)</f>
        <v>466.50000000000091</v>
      </c>
      <c r="T1860" s="82"/>
      <c r="U1860" s="3"/>
      <c r="V1860" s="79"/>
      <c r="W1860" s="67"/>
    </row>
    <row r="1861" spans="1:23" ht="15">
      <c r="A1861" s="28" t="s">
        <v>3331</v>
      </c>
      <c r="B1861" s="63" t="s">
        <v>3388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515">
        <v>457.89999999999873</v>
      </c>
      <c r="M1861" s="67"/>
      <c r="N1861" s="67">
        <f>SUM(E1861:L1861)</f>
        <v>457.89999999999873</v>
      </c>
      <c r="T1861" s="82"/>
      <c r="U1861" s="3"/>
      <c r="V1861" s="79"/>
      <c r="W1861" s="67"/>
    </row>
    <row r="1862" spans="1:23" ht="15">
      <c r="A1862" s="28" t="s">
        <v>3332</v>
      </c>
      <c r="B1862" s="63" t="s">
        <v>3386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515">
        <v>444.29999999999927</v>
      </c>
      <c r="M1862" s="67"/>
      <c r="N1862" s="67">
        <f>SUM(E1862:L1862)</f>
        <v>444.29999999999927</v>
      </c>
      <c r="T1862" s="82"/>
      <c r="U1862" s="3"/>
      <c r="V1862" s="79"/>
      <c r="W1862" s="67"/>
    </row>
    <row r="1863" spans="1:23" ht="15">
      <c r="A1863" s="28" t="s">
        <v>3333</v>
      </c>
      <c r="B1863" s="63" t="s">
        <v>3376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515">
        <v>433.99999999999909</v>
      </c>
      <c r="M1863" s="67"/>
      <c r="N1863" s="67">
        <f>SUM(E1863:L1863)</f>
        <v>433.99999999999909</v>
      </c>
      <c r="T1863" s="82"/>
      <c r="U1863" s="3"/>
      <c r="V1863" s="79"/>
      <c r="W1863" s="67"/>
    </row>
    <row r="1864" spans="1:23" ht="15">
      <c r="A1864" s="28" t="s">
        <v>3334</v>
      </c>
      <c r="B1864" s="278" t="s">
        <v>3374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515">
        <v>433.94999999999891</v>
      </c>
      <c r="M1864" s="67"/>
      <c r="N1864" s="67">
        <f>SUM(E1864:L1864)</f>
        <v>433.94999999999891</v>
      </c>
      <c r="T1864" s="82"/>
      <c r="U1864" s="3"/>
      <c r="V1864" s="79"/>
      <c r="W1864" s="67"/>
    </row>
    <row r="1865" spans="1:23" ht="15">
      <c r="A1865" s="28" t="s">
        <v>3335</v>
      </c>
      <c r="B1865" s="63" t="s">
        <v>3385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515">
        <v>431.39999999999782</v>
      </c>
      <c r="M1865" s="67"/>
      <c r="N1865" s="67">
        <f>SUM(E1865:L1865)</f>
        <v>431.39999999999782</v>
      </c>
      <c r="T1865" s="82"/>
      <c r="U1865" s="3"/>
      <c r="V1865" s="79"/>
      <c r="W1865" s="67"/>
    </row>
    <row r="1866" spans="1:23" ht="15">
      <c r="A1866" s="28" t="s">
        <v>3336</v>
      </c>
      <c r="B1866" s="63" t="s">
        <v>3379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515">
        <v>426.99999999999909</v>
      </c>
      <c r="M1866" s="67"/>
      <c r="N1866" s="67">
        <f>SUM(E1866:L1866)</f>
        <v>426.99999999999909</v>
      </c>
      <c r="T1866" s="82"/>
      <c r="U1866" s="3"/>
      <c r="V1866" s="79"/>
      <c r="W1866" s="67"/>
    </row>
    <row r="1867" spans="1:23" ht="15">
      <c r="A1867" s="28" t="s">
        <v>3337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>SUM(E1867:L1867)</f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3338</v>
      </c>
      <c r="B1868" s="63" t="s">
        <v>3394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515">
        <v>358.10000000000036</v>
      </c>
      <c r="M1868" s="67"/>
      <c r="N1868" s="67">
        <f>SUM(E1868:L1868)</f>
        <v>358.10000000000036</v>
      </c>
      <c r="T1868" s="82"/>
      <c r="U1868" s="3"/>
      <c r="V1868" s="79"/>
      <c r="W1868" s="67"/>
    </row>
    <row r="1869" spans="1:23" ht="15">
      <c r="A1869" s="28" t="s">
        <v>3339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>SUM(E1869:L1869)</f>
        <v>336.00000000000182</v>
      </c>
      <c r="T1869" s="82"/>
      <c r="U1869" s="3"/>
      <c r="V1869" s="79"/>
      <c r="W1869" s="67"/>
    </row>
    <row r="1870" spans="1:23" ht="15">
      <c r="A1870" s="28" t="s">
        <v>3340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>SUM(E1870:L1870)</f>
        <v>315.54999999999927</v>
      </c>
      <c r="T1870" s="82"/>
      <c r="U1870" s="3"/>
      <c r="V1870" s="79"/>
      <c r="W1870" s="67"/>
    </row>
    <row r="1871" spans="1:23" ht="15">
      <c r="A1871" s="28" t="s">
        <v>3341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>SUM(E1871:L1871)</f>
        <v>305.49999999999454</v>
      </c>
      <c r="T1871" s="82"/>
      <c r="U1871" s="3"/>
      <c r="V1871" s="79"/>
      <c r="W1871" s="67"/>
    </row>
    <row r="1872" spans="1:23" ht="15">
      <c r="A1872" s="28" t="s">
        <v>3342</v>
      </c>
      <c r="B1872" s="278" t="s">
        <v>2008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>SUM(E1872:L1872)</f>
        <v>252.29999999999927</v>
      </c>
      <c r="T1872" s="82"/>
      <c r="U1872" s="3"/>
      <c r="V1872" s="79"/>
      <c r="W1872" s="67"/>
    </row>
    <row r="1873" spans="1:25" ht="15">
      <c r="A1873" s="28" t="s">
        <v>3343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>SUM(E1873:L1873)</f>
        <v>234.20000000000073</v>
      </c>
      <c r="T1873" s="82"/>
      <c r="U1873" s="3"/>
      <c r="V1873" s="79"/>
      <c r="W1873" s="67"/>
    </row>
    <row r="1874" spans="1:25" ht="15">
      <c r="A1874" s="28" t="s">
        <v>3344</v>
      </c>
      <c r="B1874" s="278" t="s">
        <v>2032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>SUM(E1874:L1874)</f>
        <v>213.64999999999964</v>
      </c>
      <c r="T1874" s="82"/>
      <c r="U1874" s="3"/>
      <c r="V1874" s="79"/>
      <c r="W1874" s="67"/>
    </row>
    <row r="1875" spans="1:25" ht="15">
      <c r="A1875" s="28" t="s">
        <v>3345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>SUM(E1875:L1875)</f>
        <v>183.80000000000291</v>
      </c>
      <c r="T1875" s="82"/>
      <c r="U1875" s="3"/>
      <c r="V1875" s="79"/>
      <c r="W1875" s="67"/>
    </row>
    <row r="1876" spans="1:25" ht="15">
      <c r="A1876" s="28" t="s">
        <v>3346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>SUM(E1876:L1876)</f>
        <v>163.9</v>
      </c>
      <c r="T1876" s="82"/>
      <c r="U1876" s="3"/>
      <c r="V1876" s="79"/>
      <c r="W1876" s="67"/>
    </row>
    <row r="1877" spans="1:25" ht="15">
      <c r="A1877" s="28" t="s">
        <v>4138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>SUM(E1877:L1877)</f>
        <v>159.39999999999964</v>
      </c>
      <c r="T1877" s="82"/>
      <c r="U1877" s="3"/>
      <c r="V1877" s="79"/>
      <c r="W1877" s="67"/>
    </row>
    <row r="1878" spans="1:25" ht="15">
      <c r="A1878" s="28" t="s">
        <v>4139</v>
      </c>
      <c r="B1878" s="278" t="s">
        <v>2033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>SUM(E1878:L1878)</f>
        <v>133.49999999999909</v>
      </c>
      <c r="T1878" s="82"/>
      <c r="U1878" s="3"/>
      <c r="V1878" s="79"/>
      <c r="W1878" s="67"/>
    </row>
    <row r="1879" spans="1:25" ht="15">
      <c r="A1879" s="28" t="s">
        <v>4140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>SUM(E1879:L1879)</f>
        <v>111.40000000000327</v>
      </c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195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48">SUM(E1886:K1886)</f>
        <v>3840.2000000000016</v>
      </c>
      <c r="O1886" t="s">
        <v>2615</v>
      </c>
      <c r="R1886" s="3" t="s">
        <v>959</v>
      </c>
      <c r="S1886" s="278"/>
      <c r="T1886" s="63"/>
      <c r="U1886" s="348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48"/>
        <v>3696.4000000000028</v>
      </c>
      <c r="O1887" t="s">
        <v>1004</v>
      </c>
      <c r="S1887" s="225"/>
      <c r="T1887" s="63"/>
      <c r="U1887" s="348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8"/>
        <v>3505.4000000000024</v>
      </c>
      <c r="O1888" t="s">
        <v>281</v>
      </c>
      <c r="R1888" s="3" t="s">
        <v>1770</v>
      </c>
      <c r="S1888" s="63"/>
      <c r="T1888" s="63"/>
      <c r="U1888" s="349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8"/>
        <v>3321.8999999999987</v>
      </c>
      <c r="O1889" t="s">
        <v>958</v>
      </c>
      <c r="S1889" s="278"/>
      <c r="T1889" s="63"/>
      <c r="U1889" s="348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48"/>
        <v>3309.6</v>
      </c>
      <c r="O1890" t="s">
        <v>1314</v>
      </c>
      <c r="R1890" s="3" t="s">
        <v>1770</v>
      </c>
      <c r="S1890" s="225"/>
      <c r="T1890" s="63"/>
      <c r="U1890" s="348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48"/>
        <v>3114.3999999999978</v>
      </c>
      <c r="O1891" t="s">
        <v>322</v>
      </c>
      <c r="R1891" s="3" t="s">
        <v>1770</v>
      </c>
      <c r="S1891" s="225"/>
      <c r="T1891" s="63"/>
      <c r="U1891" s="348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279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48"/>
        <v>3086.0000000000009</v>
      </c>
      <c r="O1892" t="s">
        <v>2477</v>
      </c>
      <c r="S1892" s="278"/>
      <c r="T1892" s="63"/>
      <c r="U1892" s="348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8"/>
        <v>3019.4999999999982</v>
      </c>
      <c r="O1893" t="s">
        <v>377</v>
      </c>
      <c r="S1893" s="278"/>
      <c r="T1893" s="63"/>
      <c r="U1893" s="348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8"/>
        <v>2929.2000000000016</v>
      </c>
      <c r="O1894" t="s">
        <v>341</v>
      </c>
      <c r="S1894" s="278"/>
      <c r="T1894" s="63"/>
      <c r="U1894" s="348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48"/>
        <v>2783.7000000000016</v>
      </c>
      <c r="O1895" t="s">
        <v>323</v>
      </c>
      <c r="S1895" s="225"/>
      <c r="T1895" s="63"/>
      <c r="U1895" s="349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279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8"/>
        <v>2760.100000000004</v>
      </c>
      <c r="O1896" t="s">
        <v>283</v>
      </c>
      <c r="S1896" s="63"/>
      <c r="T1896" s="63"/>
      <c r="U1896" s="348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279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8"/>
        <v>2658.2999999999979</v>
      </c>
      <c r="O1897" t="s">
        <v>288</v>
      </c>
      <c r="S1897" s="278"/>
      <c r="T1897" s="63"/>
      <c r="U1897" s="348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279</v>
      </c>
      <c r="F1898" s="9" t="s">
        <v>279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8"/>
        <v>2657.2999999999975</v>
      </c>
      <c r="O1898" t="s">
        <v>284</v>
      </c>
      <c r="S1898" s="63"/>
      <c r="T1898" s="63"/>
      <c r="U1898" s="348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8"/>
        <v>2604.7999999999975</v>
      </c>
      <c r="O1899" t="s">
        <v>289</v>
      </c>
      <c r="S1899" s="278"/>
      <c r="T1899" s="63"/>
      <c r="U1899" s="349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279</v>
      </c>
      <c r="M1900" s="67">
        <f t="shared" si="48"/>
        <v>2495.0499999999993</v>
      </c>
      <c r="O1900" t="s">
        <v>301</v>
      </c>
      <c r="S1900" s="63"/>
      <c r="T1900" s="63"/>
      <c r="U1900" s="348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279</v>
      </c>
      <c r="F1901" s="9" t="s">
        <v>279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8"/>
        <v>2489.899999999996</v>
      </c>
      <c r="O1901" t="s">
        <v>284</v>
      </c>
      <c r="S1901" s="278"/>
      <c r="T1901" s="63"/>
      <c r="U1901" s="349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8"/>
        <v>2417.399999999996</v>
      </c>
      <c r="O1902" t="s">
        <v>282</v>
      </c>
      <c r="R1902" s="3" t="s">
        <v>1770</v>
      </c>
      <c r="S1902" s="63"/>
      <c r="T1902" s="63"/>
      <c r="U1902" s="348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8"/>
        <v>2376.6999999999998</v>
      </c>
      <c r="O1903" t="s">
        <v>298</v>
      </c>
      <c r="S1903" s="278"/>
      <c r="T1903" s="63"/>
      <c r="U1903" s="348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8"/>
        <v>2307.4000000000024</v>
      </c>
      <c r="O1904" t="s">
        <v>307</v>
      </c>
      <c r="S1904" s="278"/>
      <c r="T1904" s="63"/>
      <c r="U1904" s="348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8"/>
        <v>2233.4999999999982</v>
      </c>
      <c r="O1905" t="s">
        <v>301</v>
      </c>
      <c r="S1905" s="278"/>
      <c r="T1905" s="63"/>
      <c r="U1905" s="349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279</v>
      </c>
      <c r="F1906" s="9" t="s">
        <v>279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8"/>
        <v>2105.8999999999996</v>
      </c>
      <c r="O1906" t="s">
        <v>288</v>
      </c>
      <c r="S1906" s="225"/>
      <c r="T1906" s="63"/>
      <c r="U1906" s="348"/>
      <c r="V1906" s="63"/>
      <c r="W1906" s="63"/>
      <c r="Y1906" s="50"/>
    </row>
    <row r="1907" spans="1:25" ht="15">
      <c r="A1907" s="28" t="s">
        <v>145</v>
      </c>
      <c r="B1907" s="63" t="s">
        <v>800</v>
      </c>
      <c r="E1907" s="9" t="s">
        <v>279</v>
      </c>
      <c r="F1907" s="9" t="s">
        <v>279</v>
      </c>
      <c r="G1907" s="9" t="s">
        <v>279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48"/>
        <v>2087.2999999999956</v>
      </c>
      <c r="O1907" t="s">
        <v>284</v>
      </c>
      <c r="S1907" s="63"/>
      <c r="T1907" s="63"/>
      <c r="U1907" s="349"/>
      <c r="V1907" s="63"/>
      <c r="W1907" s="63"/>
      <c r="Y1907" s="50"/>
    </row>
    <row r="1908" spans="1:25" ht="15">
      <c r="A1908" s="28" t="s">
        <v>146</v>
      </c>
      <c r="B1908" s="28" t="s">
        <v>733</v>
      </c>
      <c r="E1908" s="9" t="s">
        <v>279</v>
      </c>
      <c r="F1908" s="9" t="s">
        <v>279</v>
      </c>
      <c r="G1908" s="9" t="s">
        <v>279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48"/>
        <v>2076.7000000000007</v>
      </c>
      <c r="O1908" t="s">
        <v>294</v>
      </c>
      <c r="S1908" s="278"/>
      <c r="T1908" s="63"/>
      <c r="U1908" s="348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279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8"/>
        <v>2037.400000000001</v>
      </c>
      <c r="S1909" s="63"/>
      <c r="T1909" s="63"/>
      <c r="U1909" s="348"/>
      <c r="V1909" s="63"/>
      <c r="W1909" s="63"/>
      <c r="Y1909" s="50"/>
    </row>
    <row r="1910" spans="1:25" ht="15">
      <c r="A1910" s="28" t="s">
        <v>151</v>
      </c>
      <c r="B1910" s="63" t="s">
        <v>764</v>
      </c>
      <c r="E1910" s="9" t="s">
        <v>279</v>
      </c>
      <c r="F1910" s="9" t="s">
        <v>279</v>
      </c>
      <c r="G1910" s="9" t="s">
        <v>279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48"/>
        <v>2037.3000000000002</v>
      </c>
      <c r="O1910" t="s">
        <v>285</v>
      </c>
      <c r="S1910" s="278"/>
      <c r="T1910" s="63"/>
      <c r="U1910" s="348"/>
      <c r="V1910" s="63"/>
      <c r="W1910" s="63"/>
      <c r="Y1910" s="50"/>
    </row>
    <row r="1911" spans="1:25" ht="15">
      <c r="A1911" s="28" t="s">
        <v>157</v>
      </c>
      <c r="B1911" s="63" t="s">
        <v>738</v>
      </c>
      <c r="E1911" s="9" t="s">
        <v>279</v>
      </c>
      <c r="F1911" s="9" t="s">
        <v>279</v>
      </c>
      <c r="G1911" s="9" t="s">
        <v>279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8"/>
        <v>2028.2000000000044</v>
      </c>
      <c r="O1911" t="s">
        <v>294</v>
      </c>
      <c r="S1911" s="63"/>
      <c r="T1911" s="63"/>
      <c r="U1911" s="348"/>
      <c r="V1911" s="63"/>
      <c r="W1911" s="63"/>
      <c r="Y1911" s="50"/>
    </row>
    <row r="1912" spans="1:25" ht="15">
      <c r="A1912" s="28" t="s">
        <v>159</v>
      </c>
      <c r="B1912" s="278" t="s">
        <v>2014</v>
      </c>
      <c r="C1912" s="3"/>
      <c r="D1912" s="3"/>
      <c r="E1912" s="9" t="s">
        <v>279</v>
      </c>
      <c r="F1912" s="9" t="s">
        <v>279</v>
      </c>
      <c r="G1912" s="9" t="s">
        <v>279</v>
      </c>
      <c r="H1912" s="9" t="s">
        <v>279</v>
      </c>
      <c r="I1912" s="9">
        <v>0</v>
      </c>
      <c r="J1912" s="217">
        <v>1070.9000000000024</v>
      </c>
      <c r="K1912" s="213">
        <v>950.39999999999782</v>
      </c>
      <c r="M1912" s="67">
        <f t="shared" si="48"/>
        <v>2021.3000000000002</v>
      </c>
      <c r="O1912" t="s">
        <v>297</v>
      </c>
      <c r="S1912" s="278"/>
      <c r="T1912" s="63"/>
      <c r="U1912" s="348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279</v>
      </c>
      <c r="M1913" s="67">
        <f t="shared" si="48"/>
        <v>1986.549999999999</v>
      </c>
      <c r="S1913" s="278"/>
      <c r="T1913" s="63"/>
      <c r="U1913" s="348"/>
      <c r="V1913" s="63"/>
      <c r="W1913" s="63"/>
      <c r="Y1913" s="50"/>
    </row>
    <row r="1914" spans="1:25" ht="15">
      <c r="A1914" s="28" t="s">
        <v>161</v>
      </c>
      <c r="B1914" s="278" t="s">
        <v>2006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M1914" s="67">
        <f t="shared" si="48"/>
        <v>1931.6000000000013</v>
      </c>
      <c r="O1914" t="s">
        <v>282</v>
      </c>
      <c r="R1914" s="216" t="s">
        <v>1770</v>
      </c>
      <c r="S1914" s="278"/>
      <c r="T1914" s="63"/>
      <c r="U1914" s="348"/>
      <c r="V1914" s="63"/>
      <c r="W1914" s="63"/>
      <c r="Y1914" s="50"/>
    </row>
    <row r="1915" spans="1:25" ht="15">
      <c r="A1915" s="28" t="s">
        <v>163</v>
      </c>
      <c r="B1915" s="63" t="s">
        <v>763</v>
      </c>
      <c r="E1915" s="9" t="s">
        <v>279</v>
      </c>
      <c r="F1915" s="9" t="s">
        <v>279</v>
      </c>
      <c r="G1915" s="9" t="s">
        <v>279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8"/>
        <v>1899.4000000000015</v>
      </c>
      <c r="S1915" s="63"/>
      <c r="T1915" s="63"/>
      <c r="U1915" s="348"/>
      <c r="V1915" s="63"/>
      <c r="W1915" s="63"/>
      <c r="Y1915" s="50"/>
    </row>
    <row r="1916" spans="1:25" ht="15">
      <c r="A1916" s="28" t="s">
        <v>275</v>
      </c>
      <c r="B1916" s="63" t="s">
        <v>746</v>
      </c>
      <c r="E1916" s="9" t="s">
        <v>279</v>
      </c>
      <c r="F1916" s="9" t="s">
        <v>279</v>
      </c>
      <c r="G1916" s="9" t="s">
        <v>279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8"/>
        <v>1885.4999999999945</v>
      </c>
      <c r="S1916" s="63"/>
      <c r="T1916" s="63"/>
      <c r="U1916" s="348"/>
      <c r="V1916" s="63"/>
      <c r="W1916" s="63"/>
      <c r="Y1916" s="50"/>
    </row>
    <row r="1917" spans="1:25" ht="15">
      <c r="A1917" s="28" t="s">
        <v>276</v>
      </c>
      <c r="B1917" s="63" t="s">
        <v>790</v>
      </c>
      <c r="E1917" s="9" t="s">
        <v>279</v>
      </c>
      <c r="F1917" s="9" t="s">
        <v>279</v>
      </c>
      <c r="G1917" s="9" t="s">
        <v>279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48"/>
        <v>1858.399999999996</v>
      </c>
      <c r="O1917" t="s">
        <v>293</v>
      </c>
      <c r="S1917" s="225"/>
      <c r="T1917" s="63"/>
      <c r="U1917" s="348"/>
      <c r="V1917" s="63"/>
      <c r="W1917" s="63"/>
      <c r="Y1917" s="50"/>
    </row>
    <row r="1918" spans="1:25" ht="15">
      <c r="A1918" s="28" t="s">
        <v>277</v>
      </c>
      <c r="B1918" s="63" t="s">
        <v>779</v>
      </c>
      <c r="E1918" s="9" t="s">
        <v>279</v>
      </c>
      <c r="F1918" s="9" t="s">
        <v>279</v>
      </c>
      <c r="G1918" s="9" t="s">
        <v>279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9">SUM(E1918:K1918)</f>
        <v>1853.1999999999998</v>
      </c>
      <c r="S1918" s="63"/>
      <c r="T1918" s="63"/>
      <c r="U1918" s="348"/>
      <c r="V1918" s="63"/>
      <c r="W1918" s="63"/>
      <c r="Y1918" s="50"/>
    </row>
    <row r="1919" spans="1:25" ht="15">
      <c r="A1919" s="28" t="s">
        <v>278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279</v>
      </c>
      <c r="I1919" s="9">
        <v>0</v>
      </c>
      <c r="J1919" s="9">
        <v>891.69999999999982</v>
      </c>
      <c r="K1919" s="9" t="s">
        <v>279</v>
      </c>
      <c r="M1919" s="67">
        <f t="shared" si="49"/>
        <v>1844.4999999999998</v>
      </c>
      <c r="O1919" t="s">
        <v>332</v>
      </c>
      <c r="S1919" s="278"/>
      <c r="T1919" s="63"/>
      <c r="U1919" s="348"/>
      <c r="V1919" s="63"/>
      <c r="W1919" s="63"/>
      <c r="Y1919" s="50"/>
    </row>
    <row r="1920" spans="1:25" ht="15">
      <c r="A1920" s="28" t="s">
        <v>735</v>
      </c>
      <c r="B1920" s="28" t="s">
        <v>734</v>
      </c>
      <c r="E1920" s="9" t="s">
        <v>279</v>
      </c>
      <c r="F1920" s="9" t="s">
        <v>279</v>
      </c>
      <c r="G1920" s="9" t="s">
        <v>279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9"/>
        <v>1837.1500000000015</v>
      </c>
      <c r="S1920" s="63"/>
      <c r="T1920" s="63"/>
      <c r="U1920" s="348"/>
      <c r="V1920" s="63"/>
      <c r="W1920" s="63"/>
      <c r="Y1920" s="50"/>
    </row>
    <row r="1921" spans="1:25" ht="15">
      <c r="A1921" s="28" t="s">
        <v>736</v>
      </c>
      <c r="B1921" s="63" t="s">
        <v>153</v>
      </c>
      <c r="E1921" s="9" t="s">
        <v>279</v>
      </c>
      <c r="F1921" s="9" t="s">
        <v>279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9"/>
        <v>1834.3999999999974</v>
      </c>
      <c r="S1921" s="28"/>
      <c r="T1921" s="63"/>
      <c r="U1921" s="349"/>
      <c r="V1921" s="63"/>
      <c r="W1921" s="63"/>
      <c r="Y1921" s="50"/>
    </row>
    <row r="1922" spans="1:25" ht="15">
      <c r="A1922" s="28" t="s">
        <v>737</v>
      </c>
      <c r="B1922" s="229" t="s">
        <v>1647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217">
        <v>1061.7000000000016</v>
      </c>
      <c r="K1922" s="9">
        <v>734.80000000000018</v>
      </c>
      <c r="M1922" s="67">
        <f t="shared" si="49"/>
        <v>1796.5000000000018</v>
      </c>
      <c r="O1922" t="s">
        <v>285</v>
      </c>
      <c r="S1922" s="63"/>
      <c r="T1922" s="63"/>
      <c r="U1922" s="348"/>
      <c r="V1922" s="63"/>
      <c r="W1922" s="63"/>
      <c r="Y1922" s="50"/>
    </row>
    <row r="1923" spans="1:25" ht="15">
      <c r="A1923" s="28" t="s">
        <v>739</v>
      </c>
      <c r="B1923" s="63" t="s">
        <v>748</v>
      </c>
      <c r="E1923" s="9" t="s">
        <v>279</v>
      </c>
      <c r="F1923" s="9" t="s">
        <v>279</v>
      </c>
      <c r="G1923" s="9" t="s">
        <v>279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9"/>
        <v>1727.4999999999973</v>
      </c>
      <c r="S1923" s="278"/>
      <c r="T1923" s="63"/>
      <c r="U1923" s="349"/>
      <c r="V1923" s="63"/>
      <c r="W1923" s="63"/>
      <c r="Y1923" s="50"/>
    </row>
    <row r="1924" spans="1:25" ht="15">
      <c r="A1924" s="28" t="s">
        <v>745</v>
      </c>
      <c r="B1924" s="63" t="s">
        <v>783</v>
      </c>
      <c r="E1924" s="9" t="s">
        <v>279</v>
      </c>
      <c r="F1924" s="9" t="s">
        <v>279</v>
      </c>
      <c r="G1924" s="9" t="s">
        <v>279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9"/>
        <v>1723.3999999999987</v>
      </c>
      <c r="S1924" s="278"/>
      <c r="T1924" s="63"/>
      <c r="U1924" s="349"/>
      <c r="V1924" s="63"/>
      <c r="W1924" s="63"/>
      <c r="Y1924" s="50"/>
    </row>
    <row r="1925" spans="1:25" ht="15">
      <c r="A1925" s="28" t="s">
        <v>747</v>
      </c>
      <c r="B1925" s="63" t="s">
        <v>749</v>
      </c>
      <c r="E1925" s="9" t="s">
        <v>279</v>
      </c>
      <c r="F1925" s="9" t="s">
        <v>279</v>
      </c>
      <c r="G1925" s="9" t="s">
        <v>279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9"/>
        <v>1684.6000000000013</v>
      </c>
      <c r="S1925" s="225"/>
      <c r="T1925" s="63"/>
      <c r="U1925" s="349"/>
      <c r="V1925" s="63"/>
      <c r="W1925" s="63"/>
      <c r="Y1925" s="50"/>
    </row>
    <row r="1926" spans="1:25" ht="15">
      <c r="A1926" s="28" t="s">
        <v>750</v>
      </c>
      <c r="B1926" s="63" t="s">
        <v>753</v>
      </c>
      <c r="E1926" s="9" t="s">
        <v>279</v>
      </c>
      <c r="F1926" s="9" t="s">
        <v>279</v>
      </c>
      <c r="G1926" s="9" t="s">
        <v>279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9"/>
        <v>1662.6999999999998</v>
      </c>
      <c r="S1926" s="63"/>
      <c r="T1926" s="63"/>
      <c r="U1926" s="349"/>
      <c r="V1926" s="63"/>
      <c r="W1926" s="63"/>
      <c r="Y1926" s="50"/>
    </row>
    <row r="1927" spans="1:25" ht="15">
      <c r="A1927" s="28" t="s">
        <v>751</v>
      </c>
      <c r="B1927" s="229" t="s">
        <v>1653</v>
      </c>
      <c r="C1927" s="3"/>
      <c r="D1927" s="3"/>
      <c r="E1927" s="9" t="s">
        <v>279</v>
      </c>
      <c r="F1927" s="9" t="s">
        <v>279</v>
      </c>
      <c r="G1927" s="9" t="s">
        <v>279</v>
      </c>
      <c r="H1927" s="9" t="s">
        <v>279</v>
      </c>
      <c r="I1927" s="9">
        <v>0</v>
      </c>
      <c r="J1927" s="9">
        <v>924.29999999999927</v>
      </c>
      <c r="K1927" s="9">
        <v>714.49999999999727</v>
      </c>
      <c r="M1927" s="67">
        <f t="shared" si="49"/>
        <v>1638.7999999999965</v>
      </c>
      <c r="S1927" s="63"/>
      <c r="T1927" s="63"/>
      <c r="U1927" s="348"/>
      <c r="V1927" s="63"/>
      <c r="W1927" s="63"/>
      <c r="Y1927" s="50"/>
    </row>
    <row r="1928" spans="1:25" ht="15">
      <c r="A1928" s="28" t="s">
        <v>754</v>
      </c>
      <c r="B1928" s="63" t="s">
        <v>762</v>
      </c>
      <c r="E1928" s="9" t="s">
        <v>279</v>
      </c>
      <c r="F1928" s="9" t="s">
        <v>279</v>
      </c>
      <c r="G1928" s="9" t="s">
        <v>279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9"/>
        <v>1637.5000000000018</v>
      </c>
      <c r="S1928" s="278"/>
      <c r="T1928" s="63"/>
      <c r="U1928" s="348"/>
      <c r="V1928" s="63"/>
      <c r="W1928" s="63"/>
      <c r="Y1928" s="50"/>
    </row>
    <row r="1929" spans="1:25" ht="15">
      <c r="A1929" s="28" t="s">
        <v>756</v>
      </c>
      <c r="B1929" s="28" t="s">
        <v>728</v>
      </c>
      <c r="E1929" s="9" t="s">
        <v>279</v>
      </c>
      <c r="F1929" s="9" t="s">
        <v>279</v>
      </c>
      <c r="G1929" s="9" t="s">
        <v>279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9"/>
        <v>1622.7000000000035</v>
      </c>
      <c r="S1929" s="278"/>
      <c r="T1929" s="63"/>
      <c r="U1929" s="349"/>
      <c r="V1929" s="63"/>
      <c r="W1929" s="63"/>
      <c r="Y1929" s="50"/>
    </row>
    <row r="1930" spans="1:25" ht="15">
      <c r="A1930" s="28" t="s">
        <v>761</v>
      </c>
      <c r="B1930" s="63" t="s">
        <v>778</v>
      </c>
      <c r="E1930" s="9" t="s">
        <v>279</v>
      </c>
      <c r="F1930" s="9" t="s">
        <v>279</v>
      </c>
      <c r="G1930" s="9" t="s">
        <v>279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9"/>
        <v>1615.5</v>
      </c>
      <c r="S1930" s="225"/>
      <c r="T1930" s="63"/>
      <c r="U1930" s="348"/>
      <c r="V1930" s="63"/>
      <c r="W1930" s="63"/>
      <c r="Y1930" s="50"/>
    </row>
    <row r="1931" spans="1:25" ht="15">
      <c r="A1931" s="28" t="s">
        <v>765</v>
      </c>
      <c r="B1931" s="229" t="s">
        <v>1660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761.49999999999818</v>
      </c>
      <c r="K1931" s="217">
        <v>820.90000000000236</v>
      </c>
      <c r="M1931" s="67">
        <f t="shared" si="49"/>
        <v>1582.4000000000005</v>
      </c>
      <c r="O1931" t="s">
        <v>298</v>
      </c>
      <c r="S1931" s="225"/>
      <c r="T1931" s="63"/>
      <c r="U1931" s="348"/>
      <c r="V1931" s="63"/>
      <c r="W1931" s="63"/>
      <c r="Y1931" s="50"/>
    </row>
    <row r="1932" spans="1:25" ht="15">
      <c r="A1932" s="28" t="s">
        <v>766</v>
      </c>
      <c r="B1932" s="278" t="s">
        <v>2022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832.70000000000073</v>
      </c>
      <c r="K1932" s="9">
        <v>707.5</v>
      </c>
      <c r="M1932" s="67">
        <f t="shared" si="49"/>
        <v>1540.2000000000007</v>
      </c>
      <c r="S1932" s="225"/>
      <c r="T1932" s="63"/>
      <c r="U1932" s="348"/>
      <c r="V1932" s="63"/>
      <c r="W1932" s="63"/>
      <c r="Y1932" s="50"/>
    </row>
    <row r="1933" spans="1:25" ht="15">
      <c r="A1933" s="28" t="s">
        <v>767</v>
      </c>
      <c r="B1933" s="63" t="s">
        <v>757</v>
      </c>
      <c r="E1933" s="9" t="s">
        <v>279</v>
      </c>
      <c r="F1933" s="9" t="s">
        <v>279</v>
      </c>
      <c r="G1933" s="9" t="s">
        <v>279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9"/>
        <v>1539.2000000000016</v>
      </c>
      <c r="S1933" s="278"/>
      <c r="T1933" s="63"/>
      <c r="U1933" s="349"/>
      <c r="V1933" s="63"/>
      <c r="W1933" s="63"/>
      <c r="Y1933" s="50"/>
    </row>
    <row r="1934" spans="1:25" ht="15">
      <c r="A1934" s="28" t="s">
        <v>773</v>
      </c>
      <c r="B1934" s="63" t="s">
        <v>755</v>
      </c>
      <c r="E1934" s="9" t="s">
        <v>279</v>
      </c>
      <c r="F1934" s="9" t="s">
        <v>279</v>
      </c>
      <c r="G1934" s="9" t="s">
        <v>279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9"/>
        <v>1538.2499999999991</v>
      </c>
      <c r="S1934" s="63"/>
      <c r="T1934" s="63"/>
      <c r="U1934" s="348"/>
      <c r="V1934" s="63"/>
      <c r="W1934" s="63"/>
      <c r="Y1934" s="50"/>
    </row>
    <row r="1935" spans="1:25" ht="15">
      <c r="A1935" s="28" t="s">
        <v>781</v>
      </c>
      <c r="B1935" s="63" t="s">
        <v>788</v>
      </c>
      <c r="E1935" s="9" t="s">
        <v>279</v>
      </c>
      <c r="F1935" s="9" t="s">
        <v>279</v>
      </c>
      <c r="G1935" s="9" t="s">
        <v>279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9"/>
        <v>1536.4000000000015</v>
      </c>
      <c r="S1935" s="278"/>
      <c r="T1935" s="63"/>
      <c r="U1935" s="348"/>
      <c r="V1935" s="63"/>
      <c r="W1935" s="63"/>
      <c r="Y1935" s="50"/>
    </row>
    <row r="1936" spans="1:25" ht="15">
      <c r="A1936" s="28" t="s">
        <v>785</v>
      </c>
      <c r="B1936" s="63" t="s">
        <v>156</v>
      </c>
      <c r="E1936" s="9" t="s">
        <v>279</v>
      </c>
      <c r="F1936" s="9" t="s">
        <v>279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9"/>
        <v>1518.7500000000007</v>
      </c>
      <c r="S1936" s="63"/>
      <c r="T1936" s="63"/>
      <c r="U1936" s="349"/>
      <c r="V1936" s="63"/>
      <c r="W1936" s="63"/>
      <c r="Y1936" s="50"/>
    </row>
    <row r="1937" spans="1:25" ht="15">
      <c r="A1937" s="28" t="s">
        <v>786</v>
      </c>
      <c r="B1937" s="229" t="s">
        <v>1643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822.75</v>
      </c>
      <c r="K1937" s="9">
        <v>680.30000000000018</v>
      </c>
      <c r="M1937" s="67">
        <f t="shared" si="49"/>
        <v>1503.0500000000002</v>
      </c>
      <c r="S1937" s="63"/>
      <c r="T1937" s="63"/>
      <c r="U1937" s="348"/>
      <c r="V1937" s="63"/>
      <c r="W1937" s="63"/>
      <c r="Y1937" s="50"/>
    </row>
    <row r="1938" spans="1:25" ht="15">
      <c r="A1938" s="28" t="s">
        <v>787</v>
      </c>
      <c r="B1938" s="229" t="s">
        <v>1659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843.89999999999873</v>
      </c>
      <c r="K1938" s="9">
        <v>641.90000000000055</v>
      </c>
      <c r="M1938" s="67">
        <f t="shared" si="49"/>
        <v>1485.7999999999993</v>
      </c>
      <c r="S1938" s="63"/>
      <c r="T1938" s="63"/>
      <c r="U1938" s="348"/>
      <c r="V1938" s="63"/>
      <c r="W1938" s="63"/>
      <c r="Y1938" s="50"/>
    </row>
    <row r="1939" spans="1:25" ht="15">
      <c r="A1939" s="28" t="s">
        <v>793</v>
      </c>
      <c r="B1939" s="225" t="s">
        <v>1662</v>
      </c>
      <c r="C1939" s="3"/>
      <c r="D1939" s="3"/>
      <c r="E1939" s="9" t="s">
        <v>279</v>
      </c>
      <c r="F1939" s="9" t="s">
        <v>279</v>
      </c>
      <c r="G1939" s="9" t="s">
        <v>279</v>
      </c>
      <c r="H1939" s="9" t="s">
        <v>279</v>
      </c>
      <c r="I1939" s="9">
        <v>0</v>
      </c>
      <c r="J1939" s="9">
        <v>723.10000000000036</v>
      </c>
      <c r="K1939" s="9">
        <v>715.00000000000091</v>
      </c>
      <c r="M1939" s="67">
        <f t="shared" si="49"/>
        <v>1438.1000000000013</v>
      </c>
      <c r="S1939" s="28"/>
      <c r="T1939" s="63"/>
      <c r="U1939" s="348"/>
      <c r="V1939" s="63"/>
      <c r="W1939" s="63"/>
      <c r="Y1939" s="50"/>
    </row>
    <row r="1940" spans="1:25" ht="15">
      <c r="A1940" s="28" t="s">
        <v>794</v>
      </c>
      <c r="B1940" s="278" t="s">
        <v>2010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788.80000000000018</v>
      </c>
      <c r="K1940" s="9">
        <v>647.20000000000164</v>
      </c>
      <c r="M1940" s="67">
        <f t="shared" si="49"/>
        <v>1436.0000000000018</v>
      </c>
      <c r="S1940" s="63"/>
      <c r="T1940" s="63"/>
      <c r="U1940" s="348"/>
      <c r="V1940" s="63"/>
      <c r="W1940" s="63"/>
      <c r="Y1940" s="50"/>
    </row>
    <row r="1941" spans="1:25" ht="15">
      <c r="A1941" s="28" t="s">
        <v>795</v>
      </c>
      <c r="B1941" s="229" t="s">
        <v>1661</v>
      </c>
      <c r="C1941" s="3"/>
      <c r="D1941" s="3"/>
      <c r="E1941" s="9" t="s">
        <v>279</v>
      </c>
      <c r="F1941" s="9" t="s">
        <v>279</v>
      </c>
      <c r="G1941" s="9" t="s">
        <v>279</v>
      </c>
      <c r="H1941" s="9" t="s">
        <v>279</v>
      </c>
      <c r="I1941" s="9">
        <v>0</v>
      </c>
      <c r="J1941" s="9">
        <v>743.5</v>
      </c>
      <c r="K1941" s="9">
        <v>680.39999999999782</v>
      </c>
      <c r="M1941" s="67">
        <f t="shared" si="49"/>
        <v>1423.8999999999978</v>
      </c>
      <c r="S1941" s="225"/>
      <c r="T1941" s="63"/>
      <c r="U1941" s="348"/>
      <c r="V1941" s="63"/>
      <c r="W1941" s="63"/>
      <c r="Y1941" s="50"/>
    </row>
    <row r="1942" spans="1:25" ht="15">
      <c r="A1942" s="28" t="s">
        <v>797</v>
      </c>
      <c r="B1942" s="229" t="s">
        <v>1657</v>
      </c>
      <c r="C1942" s="3"/>
      <c r="D1942" s="3"/>
      <c r="E1942" s="9" t="s">
        <v>279</v>
      </c>
      <c r="F1942" s="9" t="s">
        <v>279</v>
      </c>
      <c r="G1942" s="9" t="s">
        <v>279</v>
      </c>
      <c r="H1942" s="9" t="s">
        <v>279</v>
      </c>
      <c r="I1942" s="9">
        <v>0</v>
      </c>
      <c r="J1942" s="212">
        <v>1115.2000000000016</v>
      </c>
      <c r="K1942" s="9">
        <v>294.80000000000109</v>
      </c>
      <c r="M1942" s="67">
        <f t="shared" si="49"/>
        <v>1410.0000000000027</v>
      </c>
      <c r="O1942" t="s">
        <v>301</v>
      </c>
      <c r="S1942" s="63"/>
      <c r="T1942" s="63"/>
      <c r="U1942" s="348"/>
      <c r="V1942" s="63"/>
      <c r="W1942" s="63"/>
      <c r="Y1942" s="50"/>
    </row>
    <row r="1943" spans="1:25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M1943" s="67">
        <f t="shared" si="49"/>
        <v>1361.4499999999971</v>
      </c>
      <c r="S1943" s="278"/>
      <c r="T1943" s="63"/>
      <c r="U1943" s="349"/>
      <c r="V1943" s="63"/>
      <c r="W1943" s="63"/>
      <c r="Y1943" s="50"/>
    </row>
    <row r="1944" spans="1:25" ht="15">
      <c r="A1944" s="28" t="s">
        <v>799</v>
      </c>
      <c r="B1944" s="278" t="s">
        <v>2015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842.39999999999964</v>
      </c>
      <c r="K1944" s="9">
        <v>504.90000000000055</v>
      </c>
      <c r="M1944" s="67">
        <f t="shared" si="49"/>
        <v>1347.3000000000002</v>
      </c>
      <c r="S1944" s="63"/>
      <c r="T1944" s="63"/>
      <c r="U1944" s="348"/>
      <c r="V1944" s="63"/>
      <c r="W1944" s="63"/>
      <c r="Y1944" s="50"/>
    </row>
    <row r="1945" spans="1:25" ht="15">
      <c r="A1945" s="28" t="s">
        <v>802</v>
      </c>
      <c r="B1945" s="229" t="s">
        <v>1655</v>
      </c>
      <c r="C1945" s="3"/>
      <c r="D1945" s="3"/>
      <c r="E1945" s="9" t="s">
        <v>279</v>
      </c>
      <c r="F1945" s="9" t="s">
        <v>279</v>
      </c>
      <c r="G1945" s="9" t="s">
        <v>279</v>
      </c>
      <c r="H1945" s="9" t="s">
        <v>279</v>
      </c>
      <c r="I1945" s="9">
        <v>0</v>
      </c>
      <c r="J1945" s="9">
        <v>823.79999999999745</v>
      </c>
      <c r="K1945" s="9">
        <v>511.09999999999945</v>
      </c>
      <c r="M1945" s="67">
        <f t="shared" si="49"/>
        <v>1334.8999999999969</v>
      </c>
      <c r="S1945" s="63"/>
      <c r="T1945" s="63"/>
      <c r="U1945" s="349"/>
      <c r="V1945" s="63"/>
      <c r="W1945" s="63"/>
      <c r="Y1945" s="50"/>
    </row>
    <row r="1946" spans="1:25" ht="15">
      <c r="A1946" s="28" t="s">
        <v>896</v>
      </c>
      <c r="B1946" s="278" t="s">
        <v>2011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217">
        <v>1036.7999999999993</v>
      </c>
      <c r="K1946" s="9">
        <v>287.59999999999854</v>
      </c>
      <c r="M1946" s="67">
        <f t="shared" si="49"/>
        <v>1324.3999999999978</v>
      </c>
      <c r="O1946" t="s">
        <v>298</v>
      </c>
      <c r="S1946" s="278"/>
      <c r="T1946" s="63"/>
      <c r="U1946" s="349"/>
      <c r="V1946" s="63"/>
      <c r="W1946" s="63"/>
      <c r="Y1946" s="50"/>
    </row>
    <row r="1947" spans="1:25" ht="15">
      <c r="A1947" s="28" t="s">
        <v>897</v>
      </c>
      <c r="B1947" s="278" t="s">
        <v>2012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9">
        <v>721.70000000000164</v>
      </c>
      <c r="K1947" s="9">
        <v>601.49999999999909</v>
      </c>
      <c r="M1947" s="67">
        <f t="shared" si="49"/>
        <v>1323.2000000000007</v>
      </c>
      <c r="S1947" s="278"/>
      <c r="T1947" s="63"/>
      <c r="U1947" s="348"/>
      <c r="V1947" s="63"/>
      <c r="W1947" s="63"/>
      <c r="Y1947" s="50"/>
    </row>
    <row r="1948" spans="1:25" ht="15">
      <c r="A1948" s="28" t="s">
        <v>898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279</v>
      </c>
      <c r="K1948" s="9" t="s">
        <v>279</v>
      </c>
      <c r="L1948" s="69"/>
      <c r="M1948" s="67">
        <f t="shared" si="49"/>
        <v>1269.8</v>
      </c>
      <c r="O1948" t="s">
        <v>298</v>
      </c>
      <c r="S1948" s="63"/>
      <c r="T1948" s="63"/>
      <c r="U1948" s="349"/>
      <c r="V1948" s="63"/>
      <c r="W1948" s="63"/>
      <c r="Y1948" s="50"/>
    </row>
    <row r="1949" spans="1:25" ht="15">
      <c r="A1949" s="28" t="s">
        <v>899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279</v>
      </c>
      <c r="K1949" s="9" t="s">
        <v>279</v>
      </c>
      <c r="L1949" s="69"/>
      <c r="M1949" s="67">
        <f t="shared" si="49"/>
        <v>1268.6499999999983</v>
      </c>
      <c r="O1949" t="s">
        <v>285</v>
      </c>
      <c r="S1949" s="278"/>
      <c r="T1949" s="63"/>
      <c r="U1949" s="349"/>
      <c r="V1949" s="63"/>
      <c r="W1949" s="63"/>
      <c r="Y1949" s="50"/>
    </row>
    <row r="1950" spans="1:25" ht="15">
      <c r="A1950" s="28" t="s">
        <v>900</v>
      </c>
      <c r="B1950" s="63" t="s">
        <v>796</v>
      </c>
      <c r="E1950" s="9" t="s">
        <v>279</v>
      </c>
      <c r="F1950" s="9" t="s">
        <v>279</v>
      </c>
      <c r="G1950" s="9" t="s">
        <v>279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50">SUM(E1950:K1950)</f>
        <v>1265.6999999999998</v>
      </c>
      <c r="S1950" s="278"/>
      <c r="T1950" s="63"/>
      <c r="U1950" s="348"/>
      <c r="V1950" s="63"/>
      <c r="W1950" s="63"/>
      <c r="Y1950" s="50"/>
    </row>
    <row r="1951" spans="1:25" ht="15">
      <c r="A1951" s="28" t="s">
        <v>901</v>
      </c>
      <c r="B1951" s="229" t="s">
        <v>1644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429.10000000000036</v>
      </c>
      <c r="K1951" s="217">
        <v>793.99999999999636</v>
      </c>
      <c r="M1951" s="67">
        <f t="shared" si="50"/>
        <v>1223.0999999999967</v>
      </c>
      <c r="O1951" t="s">
        <v>288</v>
      </c>
      <c r="S1951" s="278"/>
      <c r="T1951" s="63"/>
      <c r="U1951" s="348"/>
      <c r="V1951" s="63"/>
      <c r="W1951" s="63"/>
      <c r="Y1951" s="50"/>
    </row>
    <row r="1952" spans="1:25" ht="15">
      <c r="A1952" s="28" t="s">
        <v>902</v>
      </c>
      <c r="B1952" s="278" t="s">
        <v>2013</v>
      </c>
      <c r="C1952" s="3"/>
      <c r="D1952" s="3"/>
      <c r="E1952" s="9" t="s">
        <v>279</v>
      </c>
      <c r="F1952" s="9" t="s">
        <v>279</v>
      </c>
      <c r="G1952" s="9" t="s">
        <v>279</v>
      </c>
      <c r="H1952" s="9" t="s">
        <v>279</v>
      </c>
      <c r="I1952" s="9">
        <v>0</v>
      </c>
      <c r="J1952" s="9">
        <v>624.50000000000091</v>
      </c>
      <c r="K1952" s="9">
        <v>565.89999999999873</v>
      </c>
      <c r="M1952" s="67">
        <f t="shared" si="50"/>
        <v>1190.3999999999996</v>
      </c>
      <c r="S1952" s="63"/>
      <c r="T1952" s="63"/>
      <c r="U1952" s="348"/>
      <c r="V1952" s="63"/>
      <c r="W1952" s="63"/>
      <c r="Y1952" s="50"/>
    </row>
    <row r="1953" spans="1:25" ht="15">
      <c r="A1953" s="28" t="s">
        <v>903</v>
      </c>
      <c r="B1953" s="63" t="s">
        <v>782</v>
      </c>
      <c r="E1953" s="9" t="s">
        <v>279</v>
      </c>
      <c r="F1953" s="9" t="s">
        <v>279</v>
      </c>
      <c r="G1953" s="9" t="s">
        <v>279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50"/>
        <v>1167.8000000000002</v>
      </c>
      <c r="S1953" s="63"/>
      <c r="T1953" s="63"/>
      <c r="U1953" s="348"/>
      <c r="V1953" s="63"/>
      <c r="W1953" s="63"/>
      <c r="Y1953" s="50"/>
    </row>
    <row r="1954" spans="1:25" ht="15">
      <c r="A1954" s="28" t="s">
        <v>904</v>
      </c>
      <c r="B1954" s="229" t="s">
        <v>1654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603.49999999999909</v>
      </c>
      <c r="K1954" s="9">
        <v>533.99999999999909</v>
      </c>
      <c r="M1954" s="67">
        <f t="shared" si="50"/>
        <v>1137.4999999999982</v>
      </c>
      <c r="S1954" s="63"/>
      <c r="T1954" s="63"/>
      <c r="U1954" s="349"/>
      <c r="V1954" s="63"/>
      <c r="W1954" s="63"/>
      <c r="Y1954" s="50"/>
    </row>
    <row r="1955" spans="1:25" ht="15">
      <c r="A1955" s="28" t="s">
        <v>905</v>
      </c>
      <c r="B1955" s="63" t="s">
        <v>771</v>
      </c>
      <c r="E1955" s="9" t="s">
        <v>279</v>
      </c>
      <c r="F1955" s="9" t="s">
        <v>279</v>
      </c>
      <c r="G1955" s="9" t="s">
        <v>279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50"/>
        <v>1126.1999999999971</v>
      </c>
      <c r="S1955" s="278"/>
      <c r="T1955" s="63"/>
      <c r="U1955" s="348"/>
      <c r="V1955" s="63"/>
      <c r="W1955" s="63"/>
      <c r="Y1955" s="50"/>
    </row>
    <row r="1956" spans="1:25" ht="15">
      <c r="A1956" s="28" t="s">
        <v>906</v>
      </c>
      <c r="B1956" s="278" t="s">
        <v>2033</v>
      </c>
      <c r="C1956" s="3"/>
      <c r="D1956" s="3"/>
      <c r="E1956" s="9" t="s">
        <v>279</v>
      </c>
      <c r="F1956" s="9" t="s">
        <v>279</v>
      </c>
      <c r="G1956" s="9" t="s">
        <v>279</v>
      </c>
      <c r="H1956" s="9" t="s">
        <v>279</v>
      </c>
      <c r="I1956" s="9">
        <v>0</v>
      </c>
      <c r="J1956" s="9" t="s">
        <v>279</v>
      </c>
      <c r="K1956" s="214">
        <v>1094.3499999999976</v>
      </c>
      <c r="M1956" s="67">
        <f t="shared" si="50"/>
        <v>1094.3499999999976</v>
      </c>
      <c r="O1956" t="s">
        <v>282</v>
      </c>
      <c r="R1956" s="216" t="s">
        <v>1770</v>
      </c>
      <c r="S1956" s="278"/>
      <c r="T1956" s="63"/>
      <c r="U1956" s="348"/>
      <c r="V1956" s="63"/>
      <c r="W1956" s="63"/>
      <c r="Y1956" s="50"/>
    </row>
    <row r="1957" spans="1:25" ht="15">
      <c r="A1957" s="28" t="s">
        <v>907</v>
      </c>
      <c r="B1957" s="229" t="s">
        <v>1656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>
        <v>618.60000000000036</v>
      </c>
      <c r="K1957" s="9">
        <v>455.40000000000146</v>
      </c>
      <c r="M1957" s="67">
        <f t="shared" si="50"/>
        <v>1074.0000000000018</v>
      </c>
      <c r="S1957" s="28"/>
      <c r="T1957" s="63"/>
      <c r="U1957" s="348"/>
      <c r="V1957" s="63"/>
      <c r="W1957" s="63"/>
      <c r="Y1957" s="50"/>
    </row>
    <row r="1958" spans="1:25" ht="15">
      <c r="A1958" s="28" t="s">
        <v>908</v>
      </c>
      <c r="B1958" s="278" t="s">
        <v>2007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157.20000000000073</v>
      </c>
      <c r="K1958" s="9">
        <v>696.99999999999909</v>
      </c>
      <c r="M1958" s="67">
        <f t="shared" si="50"/>
        <v>854.19999999999982</v>
      </c>
      <c r="S1958" s="225"/>
      <c r="T1958" s="63"/>
      <c r="U1958" s="348"/>
      <c r="V1958" s="63"/>
      <c r="W1958" s="63"/>
      <c r="Y1958" s="50"/>
    </row>
    <row r="1959" spans="1:25" ht="15">
      <c r="A1959" s="28" t="s">
        <v>909</v>
      </c>
      <c r="B1959" s="278" t="s">
        <v>2027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217">
        <v>789.40000000000236</v>
      </c>
      <c r="M1959" s="67">
        <f t="shared" si="50"/>
        <v>789.40000000000236</v>
      </c>
      <c r="O1959" t="s">
        <v>289</v>
      </c>
      <c r="S1959" s="278"/>
      <c r="T1959" s="63"/>
      <c r="U1959" s="348"/>
      <c r="V1959" s="63"/>
      <c r="W1959" s="63"/>
      <c r="Y1959" s="50"/>
    </row>
    <row r="1960" spans="1:25" ht="15">
      <c r="A1960" s="28" t="s">
        <v>910</v>
      </c>
      <c r="B1960" s="229" t="s">
        <v>1645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>
        <v>748.70000000000073</v>
      </c>
      <c r="K1960" s="9" t="s">
        <v>279</v>
      </c>
      <c r="M1960" s="67">
        <f t="shared" si="50"/>
        <v>748.70000000000073</v>
      </c>
      <c r="S1960" s="278"/>
      <c r="T1960" s="63"/>
      <c r="U1960" s="348"/>
      <c r="V1960" s="63"/>
      <c r="W1960" s="63"/>
      <c r="Y1960" s="50"/>
    </row>
    <row r="1961" spans="1:25" ht="15">
      <c r="A1961" s="28" t="s">
        <v>911</v>
      </c>
      <c r="B1961" s="278" t="s">
        <v>2032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743.09999999999945</v>
      </c>
      <c r="M1961" s="67">
        <f t="shared" si="50"/>
        <v>743.09999999999945</v>
      </c>
      <c r="S1961" s="28"/>
      <c r="T1961" s="63"/>
      <c r="U1961" s="348"/>
      <c r="V1961" s="63"/>
      <c r="W1961" s="63"/>
      <c r="Y1961" s="50"/>
    </row>
    <row r="1962" spans="1:25" ht="15">
      <c r="A1962" s="28" t="s">
        <v>912</v>
      </c>
      <c r="B1962" s="278" t="s">
        <v>2029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9">
        <v>723.80000000000018</v>
      </c>
      <c r="M1962" s="67">
        <f t="shared" si="50"/>
        <v>723.80000000000018</v>
      </c>
      <c r="S1962" s="225"/>
      <c r="T1962" s="63"/>
      <c r="U1962" s="348"/>
      <c r="V1962" s="63"/>
      <c r="W1962" s="63"/>
      <c r="Y1962" s="50"/>
    </row>
    <row r="1963" spans="1:25" ht="15">
      <c r="A1963" s="28" t="s">
        <v>913</v>
      </c>
      <c r="B1963" s="63" t="s">
        <v>178</v>
      </c>
      <c r="E1963" s="9">
        <v>339.2</v>
      </c>
      <c r="F1963" s="217">
        <v>377.3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 t="s">
        <v>279</v>
      </c>
      <c r="L1963" s="69"/>
      <c r="M1963" s="67">
        <f t="shared" si="50"/>
        <v>716.5</v>
      </c>
      <c r="O1963" t="s">
        <v>298</v>
      </c>
      <c r="S1963" s="63"/>
      <c r="T1963" s="63"/>
      <c r="U1963" s="348"/>
      <c r="V1963" s="63"/>
      <c r="W1963" s="63"/>
      <c r="Y1963" s="50"/>
    </row>
    <row r="1964" spans="1:25" ht="15">
      <c r="A1964" s="28" t="s">
        <v>914</v>
      </c>
      <c r="B1964" s="278" t="s">
        <v>4520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M1964" s="67">
        <f t="shared" si="50"/>
        <v>697.30000000000109</v>
      </c>
      <c r="S1964" s="63"/>
      <c r="T1964" s="63"/>
      <c r="U1964" s="348"/>
      <c r="V1964" s="63"/>
      <c r="W1964" s="63"/>
      <c r="Y1964" s="50"/>
    </row>
    <row r="1965" spans="1:25" ht="15">
      <c r="A1965" s="28" t="s">
        <v>915</v>
      </c>
      <c r="B1965" s="278" t="s">
        <v>2161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592.09999999999854</v>
      </c>
      <c r="M1965" s="67">
        <f t="shared" si="50"/>
        <v>592.09999999999854</v>
      </c>
      <c r="S1965" s="278"/>
      <c r="T1965" s="63"/>
      <c r="U1965" s="348"/>
      <c r="V1965" s="63"/>
      <c r="W1965" s="63"/>
      <c r="Y1965" s="50"/>
    </row>
    <row r="1966" spans="1:25" ht="15">
      <c r="A1966" s="28" t="s">
        <v>916</v>
      </c>
      <c r="B1966" s="278" t="s">
        <v>2028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555.69999999999618</v>
      </c>
      <c r="M1966" s="67">
        <f t="shared" si="50"/>
        <v>555.69999999999618</v>
      </c>
    </row>
    <row r="1967" spans="1:25" ht="15">
      <c r="A1967" s="28" t="s">
        <v>917</v>
      </c>
      <c r="B1967" s="278" t="s">
        <v>2034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M1967" s="67">
        <f t="shared" si="50"/>
        <v>554.40000000000236</v>
      </c>
    </row>
    <row r="1968" spans="1:25" ht="15">
      <c r="A1968" s="28" t="s">
        <v>918</v>
      </c>
      <c r="B1968" s="278" t="s">
        <v>2031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535.90000000000055</v>
      </c>
      <c r="M1968" s="67">
        <f t="shared" si="50"/>
        <v>535.90000000000055</v>
      </c>
    </row>
    <row r="1969" spans="1:13" ht="15">
      <c r="A1969" s="28" t="s">
        <v>919</v>
      </c>
      <c r="B1969" s="278" t="s">
        <v>2054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 t="s">
        <v>279</v>
      </c>
      <c r="K1969" s="9">
        <v>528.49999999999909</v>
      </c>
      <c r="M1969" s="67">
        <f t="shared" si="50"/>
        <v>528.49999999999909</v>
      </c>
    </row>
    <row r="1970" spans="1:13" ht="15">
      <c r="A1970" s="28" t="s">
        <v>920</v>
      </c>
      <c r="B1970" s="278" t="s">
        <v>2008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>
        <v>506</v>
      </c>
      <c r="K1970" s="9" t="s">
        <v>279</v>
      </c>
      <c r="M1970" s="67">
        <f t="shared" si="50"/>
        <v>506</v>
      </c>
    </row>
    <row r="1971" spans="1:13" ht="15">
      <c r="A1971" s="28" t="s">
        <v>921</v>
      </c>
      <c r="B1971" s="278" t="s">
        <v>2057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482.49999999999909</v>
      </c>
      <c r="M1971" s="67">
        <f t="shared" si="50"/>
        <v>482.49999999999909</v>
      </c>
    </row>
    <row r="1972" spans="1:13" ht="15">
      <c r="A1972" s="28" t="s">
        <v>922</v>
      </c>
      <c r="B1972" s="63" t="s">
        <v>769</v>
      </c>
      <c r="E1972" s="9" t="s">
        <v>279</v>
      </c>
      <c r="F1972" s="9" t="s">
        <v>279</v>
      </c>
      <c r="G1972" s="9" t="s">
        <v>279</v>
      </c>
      <c r="H1972" s="9">
        <v>482.050000000002</v>
      </c>
      <c r="I1972" s="9">
        <v>0</v>
      </c>
      <c r="J1972" s="9" t="s">
        <v>279</v>
      </c>
      <c r="K1972" s="9" t="s">
        <v>279</v>
      </c>
      <c r="L1972" s="69"/>
      <c r="M1972" s="67">
        <f t="shared" si="50"/>
        <v>482.050000000002</v>
      </c>
    </row>
    <row r="1973" spans="1:13" ht="15">
      <c r="A1973" s="28" t="s">
        <v>923</v>
      </c>
      <c r="B1973" s="278" t="s">
        <v>2056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>
        <v>430.09999999999945</v>
      </c>
      <c r="M1973" s="67">
        <f t="shared" si="50"/>
        <v>430.09999999999945</v>
      </c>
    </row>
    <row r="1974" spans="1:13" ht="15">
      <c r="A1974" s="28" t="s">
        <v>924</v>
      </c>
      <c r="B1974" s="63" t="s">
        <v>158</v>
      </c>
      <c r="E1974" s="9" t="s">
        <v>279</v>
      </c>
      <c r="F1974" s="9" t="s">
        <v>279</v>
      </c>
      <c r="G1974" s="9">
        <v>214.9</v>
      </c>
      <c r="H1974" s="9">
        <v>178.39999999999964</v>
      </c>
      <c r="I1974" s="9">
        <v>0</v>
      </c>
      <c r="J1974" s="9" t="s">
        <v>279</v>
      </c>
      <c r="K1974" s="9" t="s">
        <v>279</v>
      </c>
      <c r="L1974" s="69"/>
      <c r="M1974" s="67">
        <f t="shared" si="50"/>
        <v>393.29999999999961</v>
      </c>
    </row>
    <row r="1975" spans="1:13" ht="15">
      <c r="A1975" s="28" t="s">
        <v>925</v>
      </c>
      <c r="B1975" s="63" t="s">
        <v>164</v>
      </c>
      <c r="E1975" s="9" t="s">
        <v>279</v>
      </c>
      <c r="F1975" s="9" t="s">
        <v>279</v>
      </c>
      <c r="G1975" s="9">
        <v>391.9</v>
      </c>
      <c r="H1975" s="9" t="s">
        <v>279</v>
      </c>
      <c r="I1975" s="9">
        <v>0</v>
      </c>
      <c r="J1975" s="9" t="s">
        <v>279</v>
      </c>
      <c r="K1975" s="9" t="s">
        <v>279</v>
      </c>
      <c r="L1975" s="69"/>
      <c r="M1975" s="67">
        <f t="shared" si="50"/>
        <v>391.9</v>
      </c>
    </row>
    <row r="1976" spans="1:13" ht="15">
      <c r="A1976" s="28" t="s">
        <v>926</v>
      </c>
      <c r="B1976" s="63" t="s">
        <v>784</v>
      </c>
      <c r="E1976" s="9" t="s">
        <v>279</v>
      </c>
      <c r="F1976" s="9" t="s">
        <v>279</v>
      </c>
      <c r="G1976" s="9" t="s">
        <v>279</v>
      </c>
      <c r="H1976" s="9">
        <v>389.10000000000036</v>
      </c>
      <c r="I1976" s="9">
        <v>0</v>
      </c>
      <c r="J1976" s="9" t="s">
        <v>279</v>
      </c>
      <c r="K1976" s="9" t="s">
        <v>279</v>
      </c>
      <c r="L1976" s="69"/>
      <c r="M1976" s="67">
        <f t="shared" si="50"/>
        <v>389.10000000000036</v>
      </c>
    </row>
    <row r="1977" spans="1:13" ht="15">
      <c r="A1977" s="28" t="s">
        <v>927</v>
      </c>
      <c r="B1977" s="278" t="s">
        <v>2030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>
        <v>381.30000000000018</v>
      </c>
      <c r="M1977" s="67">
        <f t="shared" si="50"/>
        <v>381.30000000000018</v>
      </c>
    </row>
    <row r="1978" spans="1:13" ht="15">
      <c r="A1978" s="28" t="s">
        <v>928</v>
      </c>
      <c r="B1978" s="63" t="s">
        <v>179</v>
      </c>
      <c r="E1978" s="9">
        <v>238.5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69"/>
      <c r="M1978" s="67">
        <f t="shared" si="50"/>
        <v>238.5</v>
      </c>
    </row>
    <row r="1979" spans="1:13" ht="15">
      <c r="A1979" s="28" t="s">
        <v>929</v>
      </c>
      <c r="B1979" s="63" t="s">
        <v>774</v>
      </c>
      <c r="E1979" s="9" t="s">
        <v>279</v>
      </c>
      <c r="F1979" s="9" t="s">
        <v>279</v>
      </c>
      <c r="G1979" s="9" t="s">
        <v>279</v>
      </c>
      <c r="H1979" s="9">
        <v>112.29999999999927</v>
      </c>
      <c r="I1979" s="9">
        <v>0</v>
      </c>
      <c r="J1979" s="9" t="s">
        <v>279</v>
      </c>
      <c r="K1979" s="9" t="s">
        <v>279</v>
      </c>
      <c r="L1979" s="69"/>
      <c r="M1979" s="67">
        <f t="shared" si="50"/>
        <v>112.29999999999927</v>
      </c>
    </row>
    <row r="1980" spans="1:13" ht="15">
      <c r="A1980" s="28" t="s">
        <v>930</v>
      </c>
      <c r="B1980" s="63" t="s">
        <v>744</v>
      </c>
      <c r="E1980" s="9" t="s">
        <v>279</v>
      </c>
      <c r="F1980" s="9" t="s">
        <v>279</v>
      </c>
      <c r="G1980" s="9" t="s">
        <v>279</v>
      </c>
      <c r="H1980" s="9">
        <v>105.09999999999764</v>
      </c>
      <c r="I1980" s="9">
        <v>0</v>
      </c>
      <c r="J1980" s="9" t="s">
        <v>279</v>
      </c>
      <c r="K1980" s="9" t="s">
        <v>279</v>
      </c>
      <c r="L1980" s="69"/>
      <c r="M1980" s="67">
        <f t="shared" si="50"/>
        <v>105.09999999999764</v>
      </c>
    </row>
    <row r="1981" spans="1:13" ht="15">
      <c r="A1981" s="28" t="s">
        <v>931</v>
      </c>
      <c r="B1981" s="225" t="s">
        <v>1641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69"/>
      <c r="M1981" s="67">
        <f t="shared" si="50"/>
        <v>0</v>
      </c>
    </row>
    <row r="1982" spans="1:13" ht="15">
      <c r="A1982" s="28" t="s">
        <v>932</v>
      </c>
      <c r="B1982" s="229" t="s">
        <v>1651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69"/>
      <c r="M1982" s="67">
        <f t="shared" si="50"/>
        <v>0</v>
      </c>
    </row>
    <row r="1983" spans="1:13" ht="15">
      <c r="A1983" s="28" t="s">
        <v>933</v>
      </c>
      <c r="B1983" s="229" t="s">
        <v>1650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69"/>
      <c r="M1983" s="67">
        <f t="shared" si="50"/>
        <v>0</v>
      </c>
    </row>
    <row r="1984" spans="1:13" ht="15">
      <c r="A1984" s="28" t="s">
        <v>934</v>
      </c>
      <c r="B1984" s="229" t="s">
        <v>1648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 t="s">
        <v>279</v>
      </c>
      <c r="K1984" s="9" t="s">
        <v>279</v>
      </c>
      <c r="L1984" s="69"/>
      <c r="M1984" s="67">
        <f t="shared" si="50"/>
        <v>0</v>
      </c>
    </row>
    <row r="1985" spans="1:13" ht="15">
      <c r="A1985" s="28" t="s">
        <v>935</v>
      </c>
      <c r="B1985" s="229" t="s">
        <v>1676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69"/>
      <c r="M1985" s="67">
        <f t="shared" si="50"/>
        <v>0</v>
      </c>
    </row>
    <row r="1986" spans="1:13" ht="15">
      <c r="A1986" s="28" t="s">
        <v>2505</v>
      </c>
      <c r="B1986" s="229" t="s">
        <v>1658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M1986" s="67">
        <f t="shared" si="50"/>
        <v>0</v>
      </c>
    </row>
    <row r="1987" spans="1:13" ht="15">
      <c r="A1987" s="28" t="s">
        <v>3323</v>
      </c>
      <c r="B1987" s="63" t="s">
        <v>3385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3324</v>
      </c>
      <c r="B1988" s="63" t="s">
        <v>3379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3325</v>
      </c>
      <c r="B1989" s="63" t="s">
        <v>3378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3326</v>
      </c>
      <c r="B1990" s="63" t="s">
        <v>3394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3327</v>
      </c>
      <c r="B1991" s="63" t="s">
        <v>3393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3328</v>
      </c>
      <c r="B1992" s="63" t="s">
        <v>3381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3329</v>
      </c>
      <c r="B1993" s="63" t="s">
        <v>3375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3330</v>
      </c>
      <c r="B1994" s="63" t="s">
        <v>3406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3331</v>
      </c>
      <c r="B1995" s="278" t="s">
        <v>3374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3332</v>
      </c>
      <c r="B1996" s="63" t="s">
        <v>3390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3333</v>
      </c>
      <c r="B1997" s="63" t="s">
        <v>3387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3334</v>
      </c>
      <c r="B1998" s="63" t="s">
        <v>3402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3335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3336</v>
      </c>
      <c r="B2000" s="63" t="s">
        <v>3403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3337</v>
      </c>
      <c r="B2001" s="63" t="s">
        <v>3382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3338</v>
      </c>
      <c r="B2002" s="63" t="s">
        <v>3376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3339</v>
      </c>
      <c r="B2003" s="63" t="s">
        <v>3383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3340</v>
      </c>
      <c r="B2004" s="63" t="s">
        <v>3380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3341</v>
      </c>
      <c r="B2005" s="63" t="s">
        <v>3391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3342</v>
      </c>
      <c r="B2006" s="63" t="s">
        <v>3386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3343</v>
      </c>
      <c r="B2007" s="278" t="s">
        <v>3373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3344</v>
      </c>
      <c r="B2008" s="63" t="s">
        <v>3388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3345</v>
      </c>
      <c r="B2009" s="63" t="s">
        <v>3407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3346</v>
      </c>
      <c r="B2010" s="63" t="s">
        <v>3377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4138</v>
      </c>
      <c r="B2011" s="63" t="s">
        <v>3384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4139</v>
      </c>
      <c r="B2012" s="63" t="s">
        <v>3405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4140</v>
      </c>
      <c r="B2013" s="63" t="s">
        <v>3389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193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51">SUM(E2020:K2020)</f>
        <v>1837.1499999999908</v>
      </c>
      <c r="O2020" t="s">
        <v>325</v>
      </c>
      <c r="R2020" s="21" t="s">
        <v>1771</v>
      </c>
      <c r="S2020" s="278"/>
      <c r="T2020" s="63"/>
      <c r="U2020" s="348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51"/>
        <v>1836.7499999999918</v>
      </c>
      <c r="O2021" t="s">
        <v>314</v>
      </c>
      <c r="R2021" t="s">
        <v>364</v>
      </c>
      <c r="S2021" s="225"/>
      <c r="T2021" s="63"/>
      <c r="U2021" s="348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51"/>
        <v>1475.5000000000002</v>
      </c>
      <c r="O2022" t="s">
        <v>297</v>
      </c>
      <c r="S2022" s="63"/>
      <c r="T2022" s="63"/>
      <c r="U2022" s="349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51"/>
        <v>1440.599999999989</v>
      </c>
      <c r="O2023" t="s">
        <v>340</v>
      </c>
      <c r="S2023" s="278"/>
      <c r="T2023" s="63"/>
      <c r="U2023" s="348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51"/>
        <v>1381.2999999999956</v>
      </c>
      <c r="O2024" t="s">
        <v>284</v>
      </c>
      <c r="S2024" s="225"/>
      <c r="T2024" s="63"/>
      <c r="U2024" s="348"/>
      <c r="V2024" s="63"/>
      <c r="W2024" s="63"/>
    </row>
    <row r="2025" spans="1:23" ht="15">
      <c r="A2025" s="28" t="s">
        <v>8</v>
      </c>
      <c r="B2025" s="63" t="s">
        <v>143</v>
      </c>
      <c r="E2025" s="9" t="s">
        <v>279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51"/>
        <v>1370.4499999999996</v>
      </c>
      <c r="O2025" t="s">
        <v>301</v>
      </c>
      <c r="S2025" s="225"/>
      <c r="T2025" s="63"/>
      <c r="U2025" s="348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51"/>
        <v>1348.6500000000008</v>
      </c>
      <c r="O2026" t="s">
        <v>308</v>
      </c>
      <c r="S2026" s="278"/>
      <c r="T2026" s="63"/>
      <c r="U2026" s="348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279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51"/>
        <v>1341.7500000000005</v>
      </c>
      <c r="O2027" t="s">
        <v>284</v>
      </c>
      <c r="S2027" s="278"/>
      <c r="T2027" s="63"/>
      <c r="U2027" s="348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279</v>
      </c>
      <c r="L2028" s="69"/>
      <c r="M2028" s="67">
        <f t="shared" si="51"/>
        <v>1307.1500000000001</v>
      </c>
      <c r="O2028" t="s">
        <v>298</v>
      </c>
      <c r="S2028" s="278"/>
      <c r="T2028" s="63"/>
      <c r="U2028" s="348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279</v>
      </c>
      <c r="I2029" s="9">
        <v>0</v>
      </c>
      <c r="J2029" s="214">
        <v>587.69999999999709</v>
      </c>
      <c r="K2029" s="9" t="s">
        <v>279</v>
      </c>
      <c r="L2029" s="69"/>
      <c r="M2029" s="67">
        <f t="shared" si="51"/>
        <v>1300.8999999999971</v>
      </c>
      <c r="O2029" t="s">
        <v>296</v>
      </c>
      <c r="R2029" s="21" t="s">
        <v>1771</v>
      </c>
      <c r="S2029" s="225"/>
      <c r="T2029" s="63"/>
      <c r="U2029" s="349"/>
      <c r="V2029" s="63"/>
      <c r="W2029" s="63"/>
    </row>
    <row r="2030" spans="1:23" ht="15">
      <c r="A2030" s="28" t="s">
        <v>18</v>
      </c>
      <c r="B2030" s="63" t="s">
        <v>796</v>
      </c>
      <c r="E2030" s="9" t="s">
        <v>279</v>
      </c>
      <c r="F2030" s="9" t="s">
        <v>279</v>
      </c>
      <c r="G2030" s="9" t="s">
        <v>279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51"/>
        <v>1281.6999999999953</v>
      </c>
      <c r="O2030" t="s">
        <v>2640</v>
      </c>
      <c r="S2030" s="63"/>
      <c r="T2030" s="63"/>
      <c r="U2030" s="348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279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51"/>
        <v>1277.6999999999962</v>
      </c>
      <c r="O2031" t="s">
        <v>283</v>
      </c>
      <c r="S2031" s="278"/>
      <c r="T2031" s="63"/>
      <c r="U2031" s="348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51"/>
        <v>1273.2000000000003</v>
      </c>
      <c r="O2032" t="s">
        <v>335</v>
      </c>
      <c r="S2032" s="63"/>
      <c r="T2032" s="63"/>
      <c r="U2032" s="348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51"/>
        <v>1247.8000000000006</v>
      </c>
      <c r="O2033" t="s">
        <v>342</v>
      </c>
      <c r="S2033" s="278"/>
      <c r="T2033" s="63"/>
      <c r="U2033" s="349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280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51"/>
        <v>1236.1999999999969</v>
      </c>
      <c r="O2034" t="s">
        <v>282</v>
      </c>
      <c r="R2034" t="s">
        <v>1771</v>
      </c>
      <c r="S2034" s="63"/>
      <c r="T2034" s="63"/>
      <c r="U2034" s="348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279</v>
      </c>
      <c r="F2035" s="9" t="s">
        <v>279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51"/>
        <v>1232.7999999999961</v>
      </c>
      <c r="O2035" t="s">
        <v>301</v>
      </c>
      <c r="S2035" s="278"/>
      <c r="T2035" s="63"/>
      <c r="U2035" s="349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51"/>
        <v>1208.1000000000108</v>
      </c>
      <c r="O2036" t="s">
        <v>288</v>
      </c>
      <c r="S2036" s="63"/>
      <c r="T2036" s="63"/>
      <c r="U2036" s="348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279</v>
      </c>
      <c r="F2037" s="9" t="s">
        <v>279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51"/>
        <v>1203.2500000000032</v>
      </c>
      <c r="O2037" t="s">
        <v>317</v>
      </c>
      <c r="S2037" s="278"/>
      <c r="T2037" s="63"/>
      <c r="U2037" s="348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279</v>
      </c>
      <c r="F2038" s="9" t="s">
        <v>279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51"/>
        <v>1192.0999999999963</v>
      </c>
      <c r="O2038" t="s">
        <v>294</v>
      </c>
      <c r="S2038" s="278"/>
      <c r="T2038" s="63"/>
      <c r="U2038" s="348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51"/>
        <v>1180.3999999999905</v>
      </c>
      <c r="O2039" t="s">
        <v>289</v>
      </c>
      <c r="S2039" s="278"/>
      <c r="T2039" s="63"/>
      <c r="U2039" s="349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279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51"/>
        <v>1171.8999999999999</v>
      </c>
      <c r="S2040" s="225"/>
      <c r="T2040" s="63"/>
      <c r="U2040" s="348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51"/>
        <v>1168.6500000000069</v>
      </c>
      <c r="O2041" t="s">
        <v>288</v>
      </c>
      <c r="S2041" s="63"/>
      <c r="T2041" s="63"/>
      <c r="U2041" s="349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51"/>
        <v>1083.949999999993</v>
      </c>
      <c r="O2042" t="s">
        <v>293</v>
      </c>
      <c r="S2042" s="278"/>
      <c r="T2042" s="63"/>
      <c r="U2042" s="348"/>
      <c r="V2042" s="63"/>
      <c r="W2042" s="63"/>
    </row>
    <row r="2043" spans="1:23" ht="15">
      <c r="A2043" s="28" t="s">
        <v>147</v>
      </c>
      <c r="B2043" s="63" t="s">
        <v>788</v>
      </c>
      <c r="E2043" s="9" t="s">
        <v>279</v>
      </c>
      <c r="F2043" s="9" t="s">
        <v>279</v>
      </c>
      <c r="G2043" s="9" t="s">
        <v>279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51"/>
        <v>1016.3999999999996</v>
      </c>
      <c r="O2043" t="s">
        <v>283</v>
      </c>
      <c r="S2043" s="63"/>
      <c r="T2043" s="63"/>
      <c r="U2043" s="348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51"/>
        <v>1001.5000000000048</v>
      </c>
      <c r="O2044" t="s">
        <v>289</v>
      </c>
      <c r="S2044" s="278"/>
      <c r="T2044" s="63"/>
      <c r="U2044" s="348"/>
      <c r="V2044" s="63"/>
      <c r="W2044" s="63"/>
    </row>
    <row r="2045" spans="1:23" ht="15">
      <c r="A2045" s="28" t="s">
        <v>157</v>
      </c>
      <c r="B2045" s="63" t="s">
        <v>782</v>
      </c>
      <c r="E2045" s="9" t="s">
        <v>279</v>
      </c>
      <c r="F2045" s="9" t="s">
        <v>279</v>
      </c>
      <c r="G2045" s="9" t="s">
        <v>279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51"/>
        <v>991.09999999999673</v>
      </c>
      <c r="O2045" t="s">
        <v>317</v>
      </c>
      <c r="S2045" s="63"/>
      <c r="T2045" s="63"/>
      <c r="U2045" s="348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51"/>
        <v>974.89999999998236</v>
      </c>
      <c r="O2046" t="s">
        <v>298</v>
      </c>
      <c r="S2046" s="278"/>
      <c r="T2046" s="63"/>
      <c r="U2046" s="348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279</v>
      </c>
      <c r="L2047" s="69"/>
      <c r="M2047" s="67">
        <f t="shared" si="51"/>
        <v>968.79999999999654</v>
      </c>
      <c r="O2047" t="s">
        <v>283</v>
      </c>
      <c r="S2047" s="278"/>
      <c r="T2047" s="63"/>
      <c r="U2047" s="348"/>
      <c r="V2047" s="63"/>
      <c r="W2047" s="63"/>
    </row>
    <row r="2048" spans="1:23" ht="15">
      <c r="A2048" s="28" t="s">
        <v>161</v>
      </c>
      <c r="B2048" s="28" t="s">
        <v>734</v>
      </c>
      <c r="E2048" s="9" t="s">
        <v>279</v>
      </c>
      <c r="F2048" s="9" t="s">
        <v>279</v>
      </c>
      <c r="G2048" s="9" t="s">
        <v>279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51"/>
        <v>947.100000000004</v>
      </c>
      <c r="S2048" s="278"/>
      <c r="T2048" s="63"/>
      <c r="U2048" s="348"/>
      <c r="V2048" s="63"/>
      <c r="W2048" s="63"/>
    </row>
    <row r="2049" spans="1:23" ht="15">
      <c r="A2049" s="28" t="s">
        <v>163</v>
      </c>
      <c r="B2049" s="63" t="s">
        <v>757</v>
      </c>
      <c r="E2049" s="9" t="s">
        <v>279</v>
      </c>
      <c r="F2049" s="9" t="s">
        <v>279</v>
      </c>
      <c r="G2049" s="9" t="s">
        <v>279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51"/>
        <v>786.49999999999909</v>
      </c>
      <c r="O2049" t="s">
        <v>284</v>
      </c>
      <c r="S2049" s="63"/>
      <c r="T2049" s="63"/>
      <c r="U2049" s="348"/>
      <c r="V2049" s="63"/>
      <c r="W2049" s="63"/>
    </row>
    <row r="2050" spans="1:23" ht="15">
      <c r="A2050" s="28" t="s">
        <v>275</v>
      </c>
      <c r="B2050" s="63" t="s">
        <v>790</v>
      </c>
      <c r="E2050" s="9" t="s">
        <v>279</v>
      </c>
      <c r="F2050" s="9" t="s">
        <v>279</v>
      </c>
      <c r="G2050" s="9" t="s">
        <v>279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51"/>
        <v>769.44999999999254</v>
      </c>
      <c r="O2050" t="s">
        <v>288</v>
      </c>
      <c r="S2050" s="63"/>
      <c r="T2050" s="63"/>
      <c r="U2050" s="348"/>
      <c r="V2050" s="63"/>
      <c r="W2050" s="63"/>
    </row>
    <row r="2051" spans="1:23" ht="15">
      <c r="A2051" s="28" t="s">
        <v>276</v>
      </c>
      <c r="B2051" s="63" t="s">
        <v>738</v>
      </c>
      <c r="E2051" s="9" t="s">
        <v>279</v>
      </c>
      <c r="F2051" s="9" t="s">
        <v>279</v>
      </c>
      <c r="G2051" s="9" t="s">
        <v>279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51"/>
        <v>763.24999999999363</v>
      </c>
      <c r="O2051" t="s">
        <v>289</v>
      </c>
      <c r="S2051" s="225"/>
      <c r="T2051" s="63"/>
      <c r="U2051" s="348"/>
      <c r="V2051" s="63"/>
      <c r="W2051" s="63"/>
    </row>
    <row r="2052" spans="1:23" ht="15">
      <c r="A2052" s="28" t="s">
        <v>277</v>
      </c>
      <c r="B2052" s="63" t="s">
        <v>746</v>
      </c>
      <c r="E2052" s="9" t="s">
        <v>279</v>
      </c>
      <c r="F2052" s="9" t="s">
        <v>279</v>
      </c>
      <c r="G2052" s="9" t="s">
        <v>279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52">SUM(E2052:K2052)</f>
        <v>763.15000000000782</v>
      </c>
      <c r="O2052" t="s">
        <v>283</v>
      </c>
      <c r="S2052" s="63"/>
      <c r="T2052" s="63"/>
      <c r="U2052" s="348"/>
      <c r="V2052" s="63"/>
      <c r="W2052" s="63"/>
    </row>
    <row r="2053" spans="1:23" ht="15">
      <c r="A2053" s="28" t="s">
        <v>278</v>
      </c>
      <c r="B2053" s="63" t="s">
        <v>771</v>
      </c>
      <c r="E2053" s="9" t="s">
        <v>279</v>
      </c>
      <c r="F2053" s="9" t="s">
        <v>279</v>
      </c>
      <c r="G2053" s="9" t="s">
        <v>279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52"/>
        <v>759.39999999999964</v>
      </c>
      <c r="O2053" t="s">
        <v>288</v>
      </c>
      <c r="S2053" s="278"/>
      <c r="T2053" s="63"/>
      <c r="U2053" s="348"/>
      <c r="V2053" s="63"/>
      <c r="W2053" s="63"/>
    </row>
    <row r="2054" spans="1:23" ht="15">
      <c r="A2054" s="28" t="s">
        <v>735</v>
      </c>
      <c r="B2054" s="278" t="s">
        <v>2011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52"/>
        <v>748.90000000000327</v>
      </c>
      <c r="O2054" t="s">
        <v>301</v>
      </c>
      <c r="S2054" s="63"/>
      <c r="T2054" s="63"/>
      <c r="U2054" s="348"/>
      <c r="V2054" s="63"/>
      <c r="W2054" s="63"/>
    </row>
    <row r="2055" spans="1:23" ht="15">
      <c r="A2055" s="28" t="s">
        <v>736</v>
      </c>
      <c r="B2055" s="63" t="s">
        <v>762</v>
      </c>
      <c r="E2055" s="9" t="s">
        <v>279</v>
      </c>
      <c r="F2055" s="9" t="s">
        <v>279</v>
      </c>
      <c r="G2055" s="9" t="s">
        <v>279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52"/>
        <v>737.09999999999764</v>
      </c>
      <c r="O2055" t="s">
        <v>294</v>
      </c>
      <c r="S2055" s="28"/>
      <c r="T2055" s="63"/>
      <c r="U2055" s="349"/>
      <c r="V2055" s="63"/>
      <c r="W2055" s="63"/>
    </row>
    <row r="2056" spans="1:23" ht="15">
      <c r="A2056" s="28" t="s">
        <v>737</v>
      </c>
      <c r="B2056" s="63" t="s">
        <v>154</v>
      </c>
      <c r="E2056" s="9" t="s">
        <v>279</v>
      </c>
      <c r="F2056" s="9" t="s">
        <v>279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52"/>
        <v>725.70000000000312</v>
      </c>
      <c r="S2056" s="63"/>
      <c r="T2056" s="63"/>
      <c r="U2056" s="348"/>
      <c r="V2056" s="63"/>
      <c r="W2056" s="63"/>
    </row>
    <row r="2057" spans="1:23" ht="15">
      <c r="A2057" s="28" t="s">
        <v>739</v>
      </c>
      <c r="B2057" s="63" t="s">
        <v>764</v>
      </c>
      <c r="E2057" s="9" t="s">
        <v>279</v>
      </c>
      <c r="F2057" s="9" t="s">
        <v>279</v>
      </c>
      <c r="G2057" s="9" t="s">
        <v>279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52"/>
        <v>693.90000000000509</v>
      </c>
      <c r="O2057" t="s">
        <v>285</v>
      </c>
      <c r="S2057" s="278"/>
      <c r="T2057" s="63"/>
      <c r="U2057" s="349"/>
      <c r="V2057" s="63"/>
      <c r="W2057" s="63"/>
    </row>
    <row r="2058" spans="1:23" ht="15">
      <c r="A2058" s="28" t="s">
        <v>745</v>
      </c>
      <c r="B2058" s="225" t="s">
        <v>1662</v>
      </c>
      <c r="C2058" s="3"/>
      <c r="D2058" s="3"/>
      <c r="E2058" s="9" t="s">
        <v>279</v>
      </c>
      <c r="F2058" s="9" t="s">
        <v>279</v>
      </c>
      <c r="G2058" s="9" t="s">
        <v>279</v>
      </c>
      <c r="H2058" s="9" t="s">
        <v>279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52"/>
        <v>680.49999999999636</v>
      </c>
      <c r="O2058" t="s">
        <v>293</v>
      </c>
      <c r="S2058" s="278"/>
      <c r="T2058" s="63"/>
      <c r="U2058" s="349"/>
      <c r="V2058" s="63"/>
      <c r="W2058" s="63"/>
    </row>
    <row r="2059" spans="1:23" ht="15">
      <c r="A2059" s="28" t="s">
        <v>747</v>
      </c>
      <c r="B2059" s="63" t="s">
        <v>753</v>
      </c>
      <c r="E2059" s="9" t="s">
        <v>279</v>
      </c>
      <c r="F2059" s="9" t="s">
        <v>279</v>
      </c>
      <c r="G2059" s="9" t="s">
        <v>279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52"/>
        <v>672.79999999999382</v>
      </c>
      <c r="S2059" s="225"/>
      <c r="T2059" s="63"/>
      <c r="U2059" s="349"/>
      <c r="V2059" s="63"/>
      <c r="W2059" s="63"/>
    </row>
    <row r="2060" spans="1:23" ht="15">
      <c r="A2060" s="28" t="s">
        <v>750</v>
      </c>
      <c r="B2060" s="63" t="s">
        <v>783</v>
      </c>
      <c r="E2060" s="9" t="s">
        <v>279</v>
      </c>
      <c r="F2060" s="9" t="s">
        <v>279</v>
      </c>
      <c r="G2060" s="9" t="s">
        <v>279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52"/>
        <v>667.99999999999454</v>
      </c>
      <c r="S2060" s="63"/>
      <c r="T2060" s="63"/>
      <c r="U2060" s="349"/>
      <c r="V2060" s="63"/>
      <c r="W2060" s="63"/>
    </row>
    <row r="2061" spans="1:23" ht="15">
      <c r="A2061" s="28" t="s">
        <v>751</v>
      </c>
      <c r="B2061" s="278" t="s">
        <v>2013</v>
      </c>
      <c r="C2061" s="3"/>
      <c r="D2061" s="3"/>
      <c r="E2061" s="9" t="s">
        <v>279</v>
      </c>
      <c r="F2061" s="9" t="s">
        <v>279</v>
      </c>
      <c r="G2061" s="9" t="s">
        <v>279</v>
      </c>
      <c r="H2061" s="9" t="s">
        <v>279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52"/>
        <v>656.39999999999691</v>
      </c>
      <c r="O2061" t="s">
        <v>298</v>
      </c>
      <c r="S2061" s="63"/>
      <c r="T2061" s="63"/>
      <c r="U2061" s="348"/>
      <c r="V2061" s="63"/>
      <c r="W2061" s="63"/>
    </row>
    <row r="2062" spans="1:23" ht="15">
      <c r="A2062" s="28" t="s">
        <v>754</v>
      </c>
      <c r="B2062" s="63" t="s">
        <v>778</v>
      </c>
      <c r="E2062" s="9" t="s">
        <v>279</v>
      </c>
      <c r="F2062" s="9" t="s">
        <v>279</v>
      </c>
      <c r="G2062" s="9" t="s">
        <v>279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52"/>
        <v>644.24999999999181</v>
      </c>
      <c r="S2062" s="278"/>
      <c r="T2062" s="63"/>
      <c r="U2062" s="348"/>
      <c r="V2062" s="63"/>
      <c r="W2062" s="63"/>
    </row>
    <row r="2063" spans="1:23" ht="15">
      <c r="A2063" s="28" t="s">
        <v>756</v>
      </c>
      <c r="B2063" s="229" t="s">
        <v>1652</v>
      </c>
      <c r="C2063" s="3"/>
      <c r="D2063" s="3"/>
      <c r="E2063" s="9" t="s">
        <v>279</v>
      </c>
      <c r="F2063" s="9" t="s">
        <v>279</v>
      </c>
      <c r="G2063" s="9" t="s">
        <v>279</v>
      </c>
      <c r="H2063" s="9" t="s">
        <v>279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52"/>
        <v>630.19999999999163</v>
      </c>
      <c r="O2063" t="s">
        <v>289</v>
      </c>
      <c r="S2063" s="278"/>
      <c r="T2063" s="63"/>
      <c r="U2063" s="349"/>
      <c r="V2063" s="63"/>
      <c r="W2063" s="63"/>
    </row>
    <row r="2064" spans="1:23" ht="15">
      <c r="A2064" s="28" t="s">
        <v>761</v>
      </c>
      <c r="B2064" s="63" t="s">
        <v>800</v>
      </c>
      <c r="E2064" s="9" t="s">
        <v>279</v>
      </c>
      <c r="F2064" s="9" t="s">
        <v>279</v>
      </c>
      <c r="G2064" s="9" t="s">
        <v>279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52"/>
        <v>606.74999999999181</v>
      </c>
      <c r="S2064" s="225"/>
      <c r="T2064" s="63"/>
      <c r="U2064" s="348"/>
      <c r="V2064" s="63"/>
      <c r="W2064" s="63"/>
    </row>
    <row r="2065" spans="1:23" ht="15">
      <c r="A2065" s="28" t="s">
        <v>765</v>
      </c>
      <c r="B2065" s="28" t="s">
        <v>733</v>
      </c>
      <c r="E2065" s="9" t="s">
        <v>279</v>
      </c>
      <c r="F2065" s="9" t="s">
        <v>279</v>
      </c>
      <c r="G2065" s="9" t="s">
        <v>279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52"/>
        <v>599.19999999999345</v>
      </c>
      <c r="S2065" s="225"/>
      <c r="T2065" s="63"/>
      <c r="U2065" s="348"/>
      <c r="V2065" s="63"/>
      <c r="W2065" s="63"/>
    </row>
    <row r="2066" spans="1:23" ht="15">
      <c r="A2066" s="28" t="s">
        <v>766</v>
      </c>
      <c r="B2066" s="278" t="s">
        <v>2007</v>
      </c>
      <c r="C2066" s="3"/>
      <c r="D2066" s="3"/>
      <c r="E2066" s="9" t="s">
        <v>279</v>
      </c>
      <c r="F2066" s="9" t="s">
        <v>279</v>
      </c>
      <c r="G2066" s="9" t="s">
        <v>279</v>
      </c>
      <c r="H2066" s="9" t="s">
        <v>279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52"/>
        <v>598.899999999996</v>
      </c>
      <c r="O2066" t="s">
        <v>289</v>
      </c>
      <c r="S2066" s="225"/>
      <c r="T2066" s="63"/>
      <c r="U2066" s="348"/>
      <c r="V2066" s="63"/>
      <c r="W2066" s="63"/>
    </row>
    <row r="2067" spans="1:23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52"/>
        <v>588.69999999999618</v>
      </c>
      <c r="S2067" s="278"/>
      <c r="T2067" s="63"/>
      <c r="U2067" s="349"/>
      <c r="V2067" s="63"/>
      <c r="W2067" s="63"/>
    </row>
    <row r="2068" spans="1:23" ht="15">
      <c r="A2068" s="28" t="s">
        <v>773</v>
      </c>
      <c r="B2068" s="63" t="s">
        <v>748</v>
      </c>
      <c r="E2068" s="9" t="s">
        <v>279</v>
      </c>
      <c r="F2068" s="9" t="s">
        <v>279</v>
      </c>
      <c r="G2068" s="9" t="s">
        <v>279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52"/>
        <v>580.45000000000346</v>
      </c>
      <c r="S2068" s="63"/>
      <c r="T2068" s="63"/>
      <c r="U2068" s="348"/>
      <c r="V2068" s="63"/>
      <c r="W2068" s="63"/>
    </row>
    <row r="2069" spans="1:23" ht="15">
      <c r="A2069" s="28" t="s">
        <v>781</v>
      </c>
      <c r="B2069" s="63" t="s">
        <v>749</v>
      </c>
      <c r="E2069" s="9" t="s">
        <v>279</v>
      </c>
      <c r="F2069" s="9" t="s">
        <v>279</v>
      </c>
      <c r="G2069" s="9" t="s">
        <v>279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52"/>
        <v>575.19999999999982</v>
      </c>
      <c r="S2069" s="278"/>
      <c r="T2069" s="63"/>
      <c r="U2069" s="348"/>
      <c r="V2069" s="63"/>
      <c r="W2069" s="63"/>
    </row>
    <row r="2070" spans="1:23" ht="15">
      <c r="A2070" s="28" t="s">
        <v>785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279</v>
      </c>
      <c r="K2070" s="9" t="s">
        <v>279</v>
      </c>
      <c r="L2070" s="69"/>
      <c r="M2070" s="67">
        <f t="shared" si="52"/>
        <v>536.20000000000005</v>
      </c>
      <c r="S2070" s="63"/>
      <c r="T2070" s="63"/>
      <c r="U2070" s="349"/>
      <c r="V2070" s="63"/>
      <c r="W2070" s="63"/>
    </row>
    <row r="2071" spans="1:23" ht="15">
      <c r="A2071" s="28" t="s">
        <v>786</v>
      </c>
      <c r="B2071" s="63" t="s">
        <v>779</v>
      </c>
      <c r="E2071" s="9" t="s">
        <v>279</v>
      </c>
      <c r="F2071" s="9" t="s">
        <v>279</v>
      </c>
      <c r="G2071" s="9" t="s">
        <v>279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52"/>
        <v>532.89999999999145</v>
      </c>
      <c r="S2071" s="63"/>
      <c r="T2071" s="63"/>
      <c r="U2071" s="348"/>
      <c r="V2071" s="63"/>
      <c r="W2071" s="63"/>
    </row>
    <row r="2072" spans="1:23" ht="15">
      <c r="A2072" s="28" t="s">
        <v>787</v>
      </c>
      <c r="B2072" s="229" t="s">
        <v>1661</v>
      </c>
      <c r="C2072" s="3"/>
      <c r="D2072" s="3"/>
      <c r="E2072" s="9" t="s">
        <v>279</v>
      </c>
      <c r="F2072" s="9" t="s">
        <v>279</v>
      </c>
      <c r="G2072" s="9" t="s">
        <v>279</v>
      </c>
      <c r="H2072" s="9" t="s">
        <v>279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52"/>
        <v>532.49999999999091</v>
      </c>
      <c r="O2072" t="s">
        <v>288</v>
      </c>
      <c r="S2072" s="63"/>
      <c r="T2072" s="63"/>
      <c r="U2072" s="348"/>
      <c r="V2072" s="63"/>
      <c r="W2072" s="63"/>
    </row>
    <row r="2073" spans="1:23" ht="15">
      <c r="A2073" s="28" t="s">
        <v>793</v>
      </c>
      <c r="B2073" s="229" t="s">
        <v>1653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52"/>
        <v>509.19999999999436</v>
      </c>
      <c r="S2073" s="28"/>
      <c r="T2073" s="63"/>
      <c r="U2073" s="348"/>
      <c r="V2073" s="63"/>
      <c r="W2073" s="63"/>
    </row>
    <row r="2074" spans="1:23" ht="15">
      <c r="A2074" s="28" t="s">
        <v>794</v>
      </c>
      <c r="B2074" s="229" t="s">
        <v>1659</v>
      </c>
      <c r="C2074" s="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52"/>
        <v>503.49999999999818</v>
      </c>
      <c r="S2074" s="63"/>
      <c r="T2074" s="63"/>
      <c r="U2074" s="348"/>
      <c r="V2074" s="63"/>
      <c r="W2074" s="63"/>
    </row>
    <row r="2075" spans="1:23" ht="15">
      <c r="A2075" s="28" t="s">
        <v>795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279</v>
      </c>
      <c r="K2075" s="9" t="s">
        <v>279</v>
      </c>
      <c r="L2075" s="69"/>
      <c r="M2075" s="67">
        <f t="shared" si="52"/>
        <v>502.69999999999965</v>
      </c>
      <c r="S2075" s="225"/>
      <c r="T2075" s="63"/>
      <c r="U2075" s="348"/>
      <c r="V2075" s="63"/>
      <c r="W2075" s="63"/>
    </row>
    <row r="2076" spans="1:23" ht="15">
      <c r="A2076" s="28" t="s">
        <v>797</v>
      </c>
      <c r="B2076" s="278" t="s">
        <v>2022</v>
      </c>
      <c r="C2076" s="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52"/>
        <v>477.39999999999236</v>
      </c>
      <c r="S2076" s="63"/>
      <c r="T2076" s="63"/>
      <c r="U2076" s="348"/>
      <c r="V2076" s="63"/>
      <c r="W2076" s="63"/>
    </row>
    <row r="2077" spans="1:23" ht="15">
      <c r="A2077" s="28" t="s">
        <v>798</v>
      </c>
      <c r="B2077" s="63" t="s">
        <v>178</v>
      </c>
      <c r="E2077" s="217">
        <v>224.5</v>
      </c>
      <c r="F2077" s="217">
        <v>244.5</v>
      </c>
      <c r="G2077" s="9" t="s">
        <v>279</v>
      </c>
      <c r="H2077" s="9" t="s">
        <v>279</v>
      </c>
      <c r="I2077" s="9">
        <v>0</v>
      </c>
      <c r="J2077" s="9" t="s">
        <v>279</v>
      </c>
      <c r="K2077" s="9" t="s">
        <v>279</v>
      </c>
      <c r="L2077" s="69"/>
      <c r="M2077" s="67">
        <f t="shared" si="52"/>
        <v>469</v>
      </c>
      <c r="O2077" t="s">
        <v>343</v>
      </c>
      <c r="S2077" s="278"/>
      <c r="T2077" s="63"/>
      <c r="U2077" s="349"/>
      <c r="V2077" s="63"/>
      <c r="W2077" s="63"/>
    </row>
    <row r="2078" spans="1:23" ht="15">
      <c r="A2078" s="28" t="s">
        <v>799</v>
      </c>
      <c r="B2078" s="28" t="s">
        <v>728</v>
      </c>
      <c r="E2078" s="9" t="s">
        <v>279</v>
      </c>
      <c r="F2078" s="9" t="s">
        <v>279</v>
      </c>
      <c r="G2078" s="9" t="s">
        <v>279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52"/>
        <v>465.80000000000382</v>
      </c>
      <c r="S2078" s="63"/>
      <c r="T2078" s="63"/>
      <c r="U2078" s="348"/>
      <c r="V2078" s="63"/>
      <c r="W2078" s="63"/>
    </row>
    <row r="2079" spans="1:23" ht="15">
      <c r="A2079" s="28" t="s">
        <v>802</v>
      </c>
      <c r="B2079" s="229" t="s">
        <v>1654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52"/>
        <v>465.79999999999836</v>
      </c>
      <c r="S2079" s="63"/>
      <c r="T2079" s="63"/>
      <c r="U2079" s="349"/>
      <c r="V2079" s="63"/>
      <c r="W2079" s="63"/>
    </row>
    <row r="2080" spans="1:23" ht="15">
      <c r="A2080" s="28" t="s">
        <v>896</v>
      </c>
      <c r="B2080" s="229" t="s">
        <v>1644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52"/>
        <v>458.70000000000164</v>
      </c>
      <c r="S2080" s="278"/>
      <c r="T2080" s="63"/>
      <c r="U2080" s="349"/>
      <c r="V2080" s="63"/>
      <c r="W2080" s="63"/>
    </row>
    <row r="2081" spans="1:23" ht="15">
      <c r="A2081" s="28" t="s">
        <v>897</v>
      </c>
      <c r="B2081" s="278" t="s">
        <v>2010</v>
      </c>
      <c r="C2081" s="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52"/>
        <v>456.600000000004</v>
      </c>
      <c r="S2081" s="278"/>
      <c r="T2081" s="63"/>
      <c r="U2081" s="348"/>
      <c r="V2081" s="63"/>
      <c r="W2081" s="63"/>
    </row>
    <row r="2082" spans="1:23" ht="15">
      <c r="A2082" s="28" t="s">
        <v>898</v>
      </c>
      <c r="B2082" s="63" t="s">
        <v>158</v>
      </c>
      <c r="E2082" s="9" t="s">
        <v>279</v>
      </c>
      <c r="F2082" s="9" t="s">
        <v>279</v>
      </c>
      <c r="G2082" s="9">
        <v>319.10000000000002</v>
      </c>
      <c r="H2082" s="9">
        <v>134.49999999999909</v>
      </c>
      <c r="I2082" s="9">
        <v>0</v>
      </c>
      <c r="J2082" s="9" t="s">
        <v>279</v>
      </c>
      <c r="K2082" s="9" t="s">
        <v>279</v>
      </c>
      <c r="L2082" s="69"/>
      <c r="M2082" s="67">
        <f t="shared" si="52"/>
        <v>453.59999999999911</v>
      </c>
      <c r="S2082" s="63"/>
      <c r="T2082" s="63"/>
      <c r="U2082" s="349"/>
      <c r="V2082" s="63"/>
      <c r="W2082" s="63"/>
    </row>
    <row r="2083" spans="1:23" ht="15">
      <c r="A2083" s="28" t="s">
        <v>899</v>
      </c>
      <c r="B2083" s="278" t="s">
        <v>2057</v>
      </c>
      <c r="C2083" s="334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 t="s">
        <v>279</v>
      </c>
      <c r="K2083" s="217">
        <v>442.89999999999964</v>
      </c>
      <c r="L2083" s="69"/>
      <c r="M2083" s="67">
        <f t="shared" si="52"/>
        <v>442.89999999999964</v>
      </c>
      <c r="O2083" t="s">
        <v>285</v>
      </c>
      <c r="S2083" s="278"/>
      <c r="T2083" s="63"/>
      <c r="U2083" s="349"/>
      <c r="V2083" s="63"/>
      <c r="W2083" s="63"/>
    </row>
    <row r="2084" spans="1:23" ht="15">
      <c r="A2084" s="28" t="s">
        <v>900</v>
      </c>
      <c r="B2084" s="63" t="s">
        <v>763</v>
      </c>
      <c r="E2084" s="9" t="s">
        <v>279</v>
      </c>
      <c r="F2084" s="9" t="s">
        <v>279</v>
      </c>
      <c r="G2084" s="9" t="s">
        <v>279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53">SUM(E2084:K2084)</f>
        <v>432.09999999999854</v>
      </c>
      <c r="S2084" s="278"/>
      <c r="T2084" s="63"/>
      <c r="U2084" s="348"/>
      <c r="V2084" s="63"/>
      <c r="W2084" s="63"/>
    </row>
    <row r="2085" spans="1:23" ht="15">
      <c r="A2085" s="28" t="s">
        <v>901</v>
      </c>
      <c r="B2085" s="63" t="s">
        <v>769</v>
      </c>
      <c r="E2085" s="9" t="s">
        <v>279</v>
      </c>
      <c r="F2085" s="9" t="s">
        <v>279</v>
      </c>
      <c r="G2085" s="9" t="s">
        <v>279</v>
      </c>
      <c r="H2085" s="214">
        <v>428.50000000000273</v>
      </c>
      <c r="I2085" s="9">
        <v>0</v>
      </c>
      <c r="J2085" s="9" t="s">
        <v>279</v>
      </c>
      <c r="K2085" s="9" t="s">
        <v>279</v>
      </c>
      <c r="L2085" s="69"/>
      <c r="M2085" s="67">
        <f t="shared" si="53"/>
        <v>428.50000000000273</v>
      </c>
      <c r="O2085" t="s">
        <v>282</v>
      </c>
      <c r="R2085" t="s">
        <v>1771</v>
      </c>
      <c r="S2085" s="278"/>
      <c r="T2085" s="63"/>
      <c r="U2085" s="348"/>
      <c r="V2085" s="63"/>
      <c r="W2085" s="63"/>
    </row>
    <row r="2086" spans="1:23" ht="15">
      <c r="A2086" s="28" t="s">
        <v>902</v>
      </c>
      <c r="B2086" s="229" t="s">
        <v>1656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53"/>
        <v>427.49999999999181</v>
      </c>
      <c r="S2086" s="63"/>
      <c r="T2086" s="63"/>
      <c r="U2086" s="348"/>
      <c r="V2086" s="63"/>
      <c r="W2086" s="63"/>
    </row>
    <row r="2087" spans="1:23" ht="15">
      <c r="A2087" s="28" t="s">
        <v>903</v>
      </c>
      <c r="B2087" s="278" t="s">
        <v>2030</v>
      </c>
      <c r="C2087" s="334"/>
      <c r="D2087" s="3"/>
      <c r="E2087" s="9" t="s">
        <v>279</v>
      </c>
      <c r="F2087" s="9" t="s">
        <v>279</v>
      </c>
      <c r="G2087" s="9" t="s">
        <v>279</v>
      </c>
      <c r="H2087" s="9" t="s">
        <v>279</v>
      </c>
      <c r="I2087" s="9">
        <v>0</v>
      </c>
      <c r="J2087" s="9" t="s">
        <v>279</v>
      </c>
      <c r="K2087" s="217">
        <v>412.69999999999982</v>
      </c>
      <c r="L2087" s="69"/>
      <c r="M2087" s="67">
        <f t="shared" si="53"/>
        <v>412.69999999999982</v>
      </c>
      <c r="O2087" t="s">
        <v>293</v>
      </c>
      <c r="S2087" s="63"/>
      <c r="T2087" s="63"/>
      <c r="U2087" s="348"/>
      <c r="V2087" s="63"/>
      <c r="W2087" s="63"/>
    </row>
    <row r="2088" spans="1:23" ht="15">
      <c r="A2088" s="28" t="s">
        <v>904</v>
      </c>
      <c r="B2088" s="63" t="s">
        <v>774</v>
      </c>
      <c r="E2088" s="9" t="s">
        <v>279</v>
      </c>
      <c r="F2088" s="9" t="s">
        <v>279</v>
      </c>
      <c r="G2088" s="9" t="s">
        <v>279</v>
      </c>
      <c r="H2088" s="212">
        <v>400.14999999999964</v>
      </c>
      <c r="I2088" s="9">
        <v>0</v>
      </c>
      <c r="J2088" s="9" t="s">
        <v>279</v>
      </c>
      <c r="K2088" s="9" t="s">
        <v>279</v>
      </c>
      <c r="L2088" s="69"/>
      <c r="M2088" s="67">
        <f t="shared" si="53"/>
        <v>400.14999999999964</v>
      </c>
      <c r="O2088" t="s">
        <v>301</v>
      </c>
      <c r="S2088" s="63"/>
      <c r="T2088" s="63"/>
      <c r="U2088" s="349"/>
      <c r="V2088" s="63"/>
      <c r="W2088" s="63"/>
    </row>
    <row r="2089" spans="1:23" ht="15">
      <c r="A2089" s="28" t="s">
        <v>905</v>
      </c>
      <c r="B2089" s="229" t="s">
        <v>1647</v>
      </c>
      <c r="C2089" s="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53"/>
        <v>396.59999999998945</v>
      </c>
      <c r="S2089" s="278"/>
      <c r="T2089" s="63"/>
      <c r="U2089" s="348"/>
      <c r="V2089" s="63"/>
      <c r="W2089" s="63"/>
    </row>
    <row r="2090" spans="1:23" ht="15">
      <c r="A2090" s="28" t="s">
        <v>906</v>
      </c>
      <c r="B2090" s="229" t="s">
        <v>1643</v>
      </c>
      <c r="C2090" s="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53"/>
        <v>392.70000000000255</v>
      </c>
      <c r="S2090" s="278"/>
      <c r="T2090" s="63"/>
      <c r="U2090" s="348"/>
      <c r="V2090" s="63"/>
      <c r="W2090" s="63"/>
    </row>
    <row r="2091" spans="1:23" ht="15">
      <c r="A2091" s="28" t="s">
        <v>907</v>
      </c>
      <c r="B2091" s="278" t="s">
        <v>2034</v>
      </c>
      <c r="C2091" s="334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 t="s">
        <v>279</v>
      </c>
      <c r="K2091" s="217">
        <v>368.20000000000073</v>
      </c>
      <c r="L2091" s="69"/>
      <c r="M2091" s="67">
        <f t="shared" si="53"/>
        <v>368.20000000000073</v>
      </c>
      <c r="O2091" t="s">
        <v>294</v>
      </c>
      <c r="S2091" s="28"/>
      <c r="T2091" s="63"/>
      <c r="U2091" s="348"/>
      <c r="V2091" s="63"/>
      <c r="W2091" s="63"/>
    </row>
    <row r="2092" spans="1:23" ht="15">
      <c r="A2092" s="28" t="s">
        <v>908</v>
      </c>
      <c r="B2092" s="278" t="s">
        <v>2029</v>
      </c>
      <c r="C2092" s="335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9" t="s">
        <v>279</v>
      </c>
      <c r="K2092" s="9">
        <v>366.00000000000091</v>
      </c>
      <c r="L2092" s="69"/>
      <c r="M2092" s="67">
        <f t="shared" si="53"/>
        <v>366.00000000000091</v>
      </c>
      <c r="S2092" s="225"/>
      <c r="T2092" s="63"/>
      <c r="U2092" s="348"/>
      <c r="V2092" s="63"/>
      <c r="W2092" s="63"/>
    </row>
    <row r="2093" spans="1:23" ht="15">
      <c r="A2093" s="28" t="s">
        <v>909</v>
      </c>
      <c r="B2093" s="278" t="s">
        <v>2008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>
        <v>365.50000000000364</v>
      </c>
      <c r="K2093" s="9" t="s">
        <v>279</v>
      </c>
      <c r="L2093" s="69"/>
      <c r="M2093" s="67">
        <f t="shared" si="53"/>
        <v>365.50000000000364</v>
      </c>
      <c r="S2093" s="278"/>
      <c r="T2093" s="63"/>
      <c r="U2093" s="348"/>
      <c r="V2093" s="63"/>
      <c r="W2093" s="63"/>
    </row>
    <row r="2094" spans="1:23" ht="15">
      <c r="A2094" s="28" t="s">
        <v>910</v>
      </c>
      <c r="B2094" s="278" t="s">
        <v>2028</v>
      </c>
      <c r="C2094" s="334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 t="s">
        <v>279</v>
      </c>
      <c r="K2094" s="9">
        <v>345.49999999999545</v>
      </c>
      <c r="L2094" s="69"/>
      <c r="M2094" s="67">
        <f t="shared" si="53"/>
        <v>345.49999999999545</v>
      </c>
      <c r="S2094" s="278"/>
      <c r="T2094" s="63"/>
      <c r="U2094" s="348"/>
      <c r="V2094" s="63"/>
      <c r="W2094" s="63"/>
    </row>
    <row r="2095" spans="1:23" ht="15">
      <c r="A2095" s="28" t="s">
        <v>911</v>
      </c>
      <c r="B2095" s="278" t="s">
        <v>2015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53"/>
        <v>340.80000000000928</v>
      </c>
      <c r="S2095" s="28"/>
      <c r="T2095" s="63"/>
      <c r="U2095" s="348"/>
      <c r="V2095" s="63"/>
      <c r="W2095" s="63"/>
    </row>
    <row r="2096" spans="1:23" ht="15">
      <c r="A2096" s="28" t="s">
        <v>912</v>
      </c>
      <c r="B2096" s="278" t="s">
        <v>2006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53"/>
        <v>329.29999999999927</v>
      </c>
      <c r="S2096" s="225"/>
      <c r="T2096" s="63"/>
      <c r="U2096" s="348"/>
      <c r="V2096" s="63"/>
      <c r="W2096" s="63"/>
    </row>
    <row r="2097" spans="1:23" ht="15">
      <c r="A2097" s="28" t="s">
        <v>913</v>
      </c>
      <c r="B2097" s="278" t="s">
        <v>2014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53"/>
        <v>321.89999999998599</v>
      </c>
      <c r="S2097" s="63"/>
      <c r="T2097" s="63"/>
      <c r="U2097" s="348"/>
      <c r="V2097" s="63"/>
      <c r="W2097" s="63"/>
    </row>
    <row r="2098" spans="1:23" ht="15">
      <c r="A2098" s="28" t="s">
        <v>914</v>
      </c>
      <c r="B2098" s="229" t="s">
        <v>1655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53"/>
        <v>321.80000000000018</v>
      </c>
      <c r="S2098" s="63"/>
      <c r="T2098" s="63"/>
      <c r="U2098" s="348"/>
      <c r="V2098" s="63"/>
      <c r="W2098" s="63"/>
    </row>
    <row r="2099" spans="1:23" ht="15">
      <c r="A2099" s="28" t="s">
        <v>915</v>
      </c>
      <c r="B2099" s="229" t="s">
        <v>1660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>
        <v>181.59999999999491</v>
      </c>
      <c r="K2099" s="9">
        <v>140</v>
      </c>
      <c r="L2099" s="69"/>
      <c r="M2099" s="67">
        <f t="shared" si="53"/>
        <v>321.59999999999491</v>
      </c>
      <c r="S2099" s="278"/>
      <c r="T2099" s="63"/>
      <c r="U2099" s="348"/>
      <c r="V2099" s="63"/>
      <c r="W2099" s="63"/>
    </row>
    <row r="2100" spans="1:23" ht="15">
      <c r="A2100" s="28" t="s">
        <v>916</v>
      </c>
      <c r="B2100" s="278" t="s">
        <v>2012</v>
      </c>
      <c r="C2100" s="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53"/>
        <v>305.50000000000819</v>
      </c>
    </row>
    <row r="2101" spans="1:23" ht="15">
      <c r="A2101" s="28" t="s">
        <v>917</v>
      </c>
      <c r="B2101" s="229" t="s">
        <v>1645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>
        <v>286.200000000008</v>
      </c>
      <c r="K2101" s="9" t="s">
        <v>279</v>
      </c>
      <c r="L2101" s="69"/>
      <c r="M2101" s="67">
        <f t="shared" si="53"/>
        <v>286.200000000008</v>
      </c>
    </row>
    <row r="2102" spans="1:23" ht="15">
      <c r="A2102" s="28" t="s">
        <v>918</v>
      </c>
      <c r="B2102" s="278" t="s">
        <v>2027</v>
      </c>
      <c r="C2102" s="334"/>
      <c r="D2102" s="3"/>
      <c r="E2102" s="9" t="s">
        <v>279</v>
      </c>
      <c r="F2102" s="9" t="s">
        <v>279</v>
      </c>
      <c r="G2102" s="9" t="s">
        <v>279</v>
      </c>
      <c r="H2102" s="9" t="s">
        <v>279</v>
      </c>
      <c r="I2102" s="9">
        <v>0</v>
      </c>
      <c r="J2102" s="9" t="s">
        <v>279</v>
      </c>
      <c r="K2102" s="9">
        <v>268.50000000000182</v>
      </c>
      <c r="L2102" s="69"/>
      <c r="M2102" s="67">
        <f t="shared" si="53"/>
        <v>268.50000000000182</v>
      </c>
    </row>
    <row r="2103" spans="1:23" ht="15">
      <c r="A2103" s="28" t="s">
        <v>919</v>
      </c>
      <c r="B2103" s="63" t="s">
        <v>744</v>
      </c>
      <c r="E2103" s="9" t="s">
        <v>279</v>
      </c>
      <c r="F2103" s="9" t="s">
        <v>279</v>
      </c>
      <c r="G2103" s="9" t="s">
        <v>279</v>
      </c>
      <c r="H2103" s="9">
        <v>251.74999999999727</v>
      </c>
      <c r="I2103" s="9">
        <v>0</v>
      </c>
      <c r="J2103" s="9" t="s">
        <v>279</v>
      </c>
      <c r="K2103" s="9" t="s">
        <v>279</v>
      </c>
      <c r="L2103" s="69"/>
      <c r="M2103" s="67">
        <f t="shared" si="53"/>
        <v>251.74999999999727</v>
      </c>
    </row>
    <row r="2104" spans="1:23" ht="15">
      <c r="A2104" s="28" t="s">
        <v>920</v>
      </c>
      <c r="B2104" s="63" t="s">
        <v>164</v>
      </c>
      <c r="E2104" s="9" t="s">
        <v>279</v>
      </c>
      <c r="F2104" s="9" t="s">
        <v>279</v>
      </c>
      <c r="G2104" s="9">
        <v>238.5</v>
      </c>
      <c r="H2104" s="9" t="s">
        <v>279</v>
      </c>
      <c r="I2104" s="9">
        <v>0</v>
      </c>
      <c r="J2104" s="9" t="s">
        <v>279</v>
      </c>
      <c r="K2104" s="9" t="s">
        <v>279</v>
      </c>
      <c r="L2104" s="69"/>
      <c r="M2104" s="67">
        <f t="shared" si="53"/>
        <v>238.5</v>
      </c>
    </row>
    <row r="2105" spans="1:23" ht="15">
      <c r="A2105" s="28" t="s">
        <v>921</v>
      </c>
      <c r="B2105" s="278" t="s">
        <v>2032</v>
      </c>
      <c r="C2105" s="334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>
        <v>232</v>
      </c>
      <c r="L2105" s="69"/>
      <c r="M2105" s="67">
        <f t="shared" si="53"/>
        <v>232</v>
      </c>
    </row>
    <row r="2106" spans="1:23" ht="15">
      <c r="A2106" s="28" t="s">
        <v>922</v>
      </c>
      <c r="B2106" s="229" t="s">
        <v>1657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53"/>
        <v>222.79999999999382</v>
      </c>
    </row>
    <row r="2107" spans="1:23" ht="15">
      <c r="A2107" s="28" t="s">
        <v>923</v>
      </c>
      <c r="B2107" s="278" t="s">
        <v>2031</v>
      </c>
      <c r="C2107" s="334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>
        <v>215.00000000000182</v>
      </c>
      <c r="L2107" s="69"/>
      <c r="M2107" s="67">
        <f t="shared" si="53"/>
        <v>215.00000000000182</v>
      </c>
    </row>
    <row r="2108" spans="1:23" ht="15">
      <c r="A2108" s="28" t="s">
        <v>924</v>
      </c>
      <c r="B2108" s="63" t="s">
        <v>179</v>
      </c>
      <c r="E2108" s="217">
        <v>154.5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69"/>
      <c r="M2108" s="67">
        <f t="shared" si="53"/>
        <v>154.5</v>
      </c>
      <c r="O2108" t="s">
        <v>294</v>
      </c>
    </row>
    <row r="2109" spans="1:23" ht="15">
      <c r="A2109" s="28" t="s">
        <v>925</v>
      </c>
      <c r="B2109" s="278" t="s">
        <v>2161</v>
      </c>
      <c r="C2109" s="334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>
        <v>152.29999999999927</v>
      </c>
      <c r="L2109" s="69"/>
      <c r="M2109" s="67">
        <f t="shared" si="53"/>
        <v>152.29999999999927</v>
      </c>
    </row>
    <row r="2110" spans="1:23" ht="15">
      <c r="A2110" s="28" t="s">
        <v>926</v>
      </c>
      <c r="B2110" s="278" t="s">
        <v>4520</v>
      </c>
      <c r="C2110" s="334"/>
      <c r="D2110" s="3"/>
      <c r="E2110" s="9" t="s">
        <v>279</v>
      </c>
      <c r="F2110" s="9" t="s">
        <v>279</v>
      </c>
      <c r="G2110" s="9" t="s">
        <v>279</v>
      </c>
      <c r="H2110" s="9" t="s">
        <v>279</v>
      </c>
      <c r="I2110" s="9">
        <v>0</v>
      </c>
      <c r="J2110" s="9" t="s">
        <v>279</v>
      </c>
      <c r="K2110" s="9">
        <v>142.20000000000073</v>
      </c>
      <c r="L2110" s="69"/>
      <c r="M2110" s="67">
        <f t="shared" si="53"/>
        <v>142.20000000000073</v>
      </c>
    </row>
    <row r="2111" spans="1:23" ht="15">
      <c r="A2111" s="28" t="s">
        <v>927</v>
      </c>
      <c r="B2111" s="63" t="s">
        <v>784</v>
      </c>
      <c r="E2111" s="9" t="s">
        <v>279</v>
      </c>
      <c r="F2111" s="9" t="s">
        <v>279</v>
      </c>
      <c r="G2111" s="9" t="s">
        <v>279</v>
      </c>
      <c r="H2111" s="9">
        <v>141.50000000000091</v>
      </c>
      <c r="I2111" s="9">
        <v>0</v>
      </c>
      <c r="J2111" s="9" t="s">
        <v>279</v>
      </c>
      <c r="K2111" s="9" t="s">
        <v>279</v>
      </c>
      <c r="L2111" s="69"/>
      <c r="M2111" s="67">
        <f t="shared" si="53"/>
        <v>141.50000000000091</v>
      </c>
    </row>
    <row r="2112" spans="1:23" ht="15">
      <c r="A2112" s="28" t="s">
        <v>928</v>
      </c>
      <c r="B2112" s="278" t="s">
        <v>2054</v>
      </c>
      <c r="C2112" s="334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>
        <v>102.00000000000182</v>
      </c>
      <c r="L2112" s="69"/>
      <c r="M2112" s="67">
        <f t="shared" si="53"/>
        <v>102.00000000000182</v>
      </c>
    </row>
    <row r="2113" spans="1:13" ht="15">
      <c r="A2113" s="28" t="s">
        <v>929</v>
      </c>
      <c r="B2113" s="278" t="s">
        <v>2056</v>
      </c>
      <c r="C2113" s="6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>
        <v>93.499999999999091</v>
      </c>
      <c r="L2113" s="69"/>
      <c r="M2113" s="67">
        <f t="shared" si="53"/>
        <v>93.499999999999091</v>
      </c>
    </row>
    <row r="2114" spans="1:13" ht="15">
      <c r="A2114" s="28" t="s">
        <v>930</v>
      </c>
      <c r="B2114" s="278" t="s">
        <v>2033</v>
      </c>
      <c r="C2114" s="335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27.899999999999636</v>
      </c>
      <c r="L2114" s="69"/>
      <c r="M2114" s="67">
        <f t="shared" si="53"/>
        <v>27.899999999999636</v>
      </c>
    </row>
    <row r="2115" spans="1:13" ht="15">
      <c r="A2115" s="28" t="s">
        <v>931</v>
      </c>
      <c r="B2115" s="225" t="s">
        <v>1641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69"/>
      <c r="M2115" s="67">
        <f t="shared" si="53"/>
        <v>0</v>
      </c>
    </row>
    <row r="2116" spans="1:13" ht="15">
      <c r="A2116" s="28" t="s">
        <v>932</v>
      </c>
      <c r="B2116" s="229" t="s">
        <v>1651</v>
      </c>
      <c r="C2116" s="3"/>
      <c r="D2116" s="3"/>
      <c r="E2116" s="9" t="s">
        <v>279</v>
      </c>
      <c r="F2116" s="9" t="s">
        <v>279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69"/>
      <c r="M2116" s="67">
        <f t="shared" si="53"/>
        <v>0</v>
      </c>
    </row>
    <row r="2117" spans="1:13" ht="15">
      <c r="A2117" s="28" t="s">
        <v>933</v>
      </c>
      <c r="B2117" s="229" t="s">
        <v>1650</v>
      </c>
      <c r="C2117" s="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 t="s">
        <v>279</v>
      </c>
      <c r="L2117" s="69"/>
      <c r="M2117" s="67">
        <f t="shared" si="53"/>
        <v>0</v>
      </c>
    </row>
    <row r="2118" spans="1:13" ht="15">
      <c r="A2118" s="28" t="s">
        <v>934</v>
      </c>
      <c r="B2118" s="229" t="s">
        <v>1648</v>
      </c>
      <c r="C2118" s="3"/>
      <c r="D2118" s="3"/>
      <c r="E2118" s="9" t="s">
        <v>279</v>
      </c>
      <c r="F2118" s="9" t="s">
        <v>279</v>
      </c>
      <c r="G2118" s="9" t="s">
        <v>279</v>
      </c>
      <c r="H2118" s="9" t="s">
        <v>279</v>
      </c>
      <c r="I2118" s="9">
        <v>0</v>
      </c>
      <c r="J2118" s="9" t="s">
        <v>279</v>
      </c>
      <c r="K2118" s="9" t="s">
        <v>279</v>
      </c>
      <c r="L2118" s="69"/>
      <c r="M2118" s="67">
        <f t="shared" si="53"/>
        <v>0</v>
      </c>
    </row>
    <row r="2119" spans="1:13" ht="15">
      <c r="A2119" s="28" t="s">
        <v>935</v>
      </c>
      <c r="B2119" s="229" t="s">
        <v>1676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69"/>
      <c r="M2119" s="67">
        <f t="shared" si="53"/>
        <v>0</v>
      </c>
    </row>
    <row r="2120" spans="1:13" ht="15">
      <c r="A2120" s="28" t="s">
        <v>2505</v>
      </c>
      <c r="B2120" s="229" t="s">
        <v>1658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69"/>
      <c r="M2120" s="67">
        <f t="shared" si="53"/>
        <v>0</v>
      </c>
    </row>
    <row r="2121" spans="1:13" ht="15">
      <c r="A2121" s="28" t="s">
        <v>3323</v>
      </c>
      <c r="B2121" s="63" t="s">
        <v>3385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3324</v>
      </c>
      <c r="B2122" s="63" t="s">
        <v>3379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3325</v>
      </c>
      <c r="B2123" s="63" t="s">
        <v>3378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3326</v>
      </c>
      <c r="B2124" s="63" t="s">
        <v>3394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3327</v>
      </c>
      <c r="B2125" s="63" t="s">
        <v>3393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3328</v>
      </c>
      <c r="B2126" s="63" t="s">
        <v>3381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3329</v>
      </c>
      <c r="B2127" s="63" t="s">
        <v>3375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3330</v>
      </c>
      <c r="B2128" s="63" t="s">
        <v>3406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3331</v>
      </c>
      <c r="B2129" s="278" t="s">
        <v>3374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3332</v>
      </c>
      <c r="B2130" s="63" t="s">
        <v>3390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3333</v>
      </c>
      <c r="B2131" s="63" t="s">
        <v>3387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3334</v>
      </c>
      <c r="B2132" s="63" t="s">
        <v>3402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3335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3336</v>
      </c>
      <c r="B2134" s="63" t="s">
        <v>3403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3337</v>
      </c>
      <c r="B2135" s="63" t="s">
        <v>3382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3338</v>
      </c>
      <c r="B2136" s="63" t="s">
        <v>3376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3339</v>
      </c>
      <c r="B2137" s="63" t="s">
        <v>3383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3340</v>
      </c>
      <c r="B2138" s="63" t="s">
        <v>3380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3341</v>
      </c>
      <c r="B2139" s="63" t="s">
        <v>3391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3342</v>
      </c>
      <c r="B2140" s="63" t="s">
        <v>3386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3343</v>
      </c>
      <c r="B2141" s="278" t="s">
        <v>3373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3344</v>
      </c>
      <c r="B2142" s="63" t="s">
        <v>3388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3345</v>
      </c>
      <c r="B2143" s="63" t="s">
        <v>3407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3346</v>
      </c>
      <c r="B2144" s="63" t="s">
        <v>3377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4138</v>
      </c>
      <c r="B2145" s="63" t="s">
        <v>3384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4139</v>
      </c>
      <c r="B2146" s="63" t="s">
        <v>3405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4140</v>
      </c>
      <c r="B2147" s="63" t="s">
        <v>3389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194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54">SUM(E2154:K2154)</f>
        <v>1846.050000000002</v>
      </c>
      <c r="O2154" t="s">
        <v>346</v>
      </c>
      <c r="R2154" t="s">
        <v>1772</v>
      </c>
      <c r="S2154" s="278"/>
      <c r="T2154" s="63"/>
      <c r="U2154" s="360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54"/>
        <v>1842.5000000000018</v>
      </c>
      <c r="O2155" t="s">
        <v>282</v>
      </c>
      <c r="R2155" t="s">
        <v>1772</v>
      </c>
      <c r="S2155" s="225"/>
      <c r="T2155" s="63"/>
      <c r="U2155" s="361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54"/>
        <v>1826.2999999999961</v>
      </c>
      <c r="O2156" t="s">
        <v>356</v>
      </c>
      <c r="R2156" s="21" t="s">
        <v>1772</v>
      </c>
      <c r="S2156" s="63"/>
      <c r="T2156" s="63"/>
      <c r="U2156" s="349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54"/>
        <v>1804.3000000000009</v>
      </c>
      <c r="O2157" t="s">
        <v>344</v>
      </c>
      <c r="S2157" s="278"/>
      <c r="T2157" s="63"/>
      <c r="U2157" s="348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54"/>
        <v>1759.2000000000039</v>
      </c>
      <c r="O2158" t="s">
        <v>311</v>
      </c>
      <c r="S2158" s="225"/>
      <c r="T2158" s="63"/>
      <c r="U2158" s="348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54"/>
        <v>1703.3999999999992</v>
      </c>
      <c r="O2159" t="s">
        <v>301</v>
      </c>
      <c r="S2159" s="225"/>
      <c r="T2159" s="63"/>
      <c r="U2159" s="360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54"/>
        <v>1646.7999999999997</v>
      </c>
      <c r="O2160" t="s">
        <v>336</v>
      </c>
      <c r="S2160" s="278"/>
      <c r="T2160" s="63"/>
      <c r="U2160" s="348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54"/>
        <v>1593.4999999999995</v>
      </c>
      <c r="O2161" t="s">
        <v>284</v>
      </c>
      <c r="S2161" s="278"/>
      <c r="T2161" s="63"/>
      <c r="U2161" s="348"/>
      <c r="W2161" s="63"/>
    </row>
    <row r="2162" spans="1:23" ht="15">
      <c r="A2162" s="28" t="s">
        <v>14</v>
      </c>
      <c r="B2162" s="63" t="s">
        <v>141</v>
      </c>
      <c r="E2162" s="9" t="s">
        <v>279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54"/>
        <v>1592.7000000000048</v>
      </c>
      <c r="O2162" t="s">
        <v>294</v>
      </c>
      <c r="S2162" s="225"/>
      <c r="T2162" s="63"/>
      <c r="U2162" s="360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279</v>
      </c>
      <c r="M2163" s="67">
        <f t="shared" si="54"/>
        <v>1529.4499999999998</v>
      </c>
      <c r="O2163" t="s">
        <v>282</v>
      </c>
      <c r="R2163" t="s">
        <v>1772</v>
      </c>
      <c r="S2163" s="63"/>
      <c r="T2163" s="63"/>
      <c r="U2163" s="348"/>
      <c r="W2163" s="63"/>
    </row>
    <row r="2164" spans="1:23" ht="15">
      <c r="A2164" s="28" t="s">
        <v>18</v>
      </c>
      <c r="B2164" s="63" t="s">
        <v>771</v>
      </c>
      <c r="E2164" s="9" t="s">
        <v>279</v>
      </c>
      <c r="F2164" s="9" t="s">
        <v>279</v>
      </c>
      <c r="G2164" s="9" t="s">
        <v>279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54"/>
        <v>1522.0999999999976</v>
      </c>
      <c r="O2164" t="s">
        <v>2614</v>
      </c>
      <c r="S2164" s="63"/>
      <c r="T2164" s="63"/>
      <c r="U2164" s="348"/>
      <c r="W2164" s="63"/>
    </row>
    <row r="2165" spans="1:23" ht="15">
      <c r="A2165" s="28" t="s">
        <v>20</v>
      </c>
      <c r="B2165" s="63" t="s">
        <v>143</v>
      </c>
      <c r="E2165" s="9" t="s">
        <v>279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54"/>
        <v>1513.9000000000017</v>
      </c>
      <c r="O2165" t="s">
        <v>293</v>
      </c>
      <c r="S2165" s="278"/>
      <c r="T2165" s="63"/>
      <c r="U2165" s="360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54"/>
        <v>1510.3999999999962</v>
      </c>
      <c r="O2166" t="s">
        <v>343</v>
      </c>
      <c r="S2166" s="278"/>
      <c r="T2166" s="63"/>
      <c r="U2166" s="348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54"/>
        <v>1474.9999999999995</v>
      </c>
      <c r="O2167" t="s">
        <v>286</v>
      </c>
      <c r="S2167" s="63"/>
      <c r="T2167" s="63"/>
      <c r="U2167" s="348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279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54"/>
        <v>1453.2999999999997</v>
      </c>
      <c r="O2168" t="s">
        <v>283</v>
      </c>
      <c r="S2168" s="278"/>
      <c r="T2168" s="63"/>
      <c r="U2168" s="348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279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54"/>
        <v>1450.9500000000012</v>
      </c>
      <c r="O2169" t="s">
        <v>333</v>
      </c>
      <c r="S2169" s="278"/>
      <c r="T2169" s="63"/>
      <c r="U2169" s="360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54"/>
        <v>1409.6000000000015</v>
      </c>
      <c r="O2170" t="s">
        <v>345</v>
      </c>
      <c r="S2170" s="278"/>
      <c r="T2170" s="63"/>
      <c r="U2170" s="348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54"/>
        <v>1378.1000000000017</v>
      </c>
      <c r="O2171" t="s">
        <v>320</v>
      </c>
      <c r="S2171" s="278"/>
      <c r="T2171" s="63"/>
      <c r="U2171" s="361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279</v>
      </c>
      <c r="F2172" s="9" t="s">
        <v>279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54"/>
        <v>1370.4999999999964</v>
      </c>
      <c r="O2172" t="s">
        <v>285</v>
      </c>
      <c r="S2172" s="225"/>
      <c r="T2172" s="63"/>
      <c r="U2172" s="348"/>
      <c r="V2172" s="63"/>
      <c r="W2172" s="63"/>
    </row>
    <row r="2173" spans="1:23" ht="15">
      <c r="A2173" s="28" t="s">
        <v>36</v>
      </c>
      <c r="B2173" s="63" t="s">
        <v>757</v>
      </c>
      <c r="E2173" s="9" t="s">
        <v>279</v>
      </c>
      <c r="F2173" s="9" t="s">
        <v>279</v>
      </c>
      <c r="G2173" s="9" t="s">
        <v>279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54"/>
        <v>1347.0000000000009</v>
      </c>
      <c r="O2173" t="s">
        <v>290</v>
      </c>
      <c r="S2173" s="63"/>
      <c r="T2173" s="63"/>
      <c r="U2173" s="348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279</v>
      </c>
      <c r="F2174" s="9" t="s">
        <v>279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54"/>
        <v>1320.6999999999975</v>
      </c>
      <c r="O2174" t="s">
        <v>288</v>
      </c>
      <c r="S2174" s="278"/>
      <c r="T2174" s="63"/>
      <c r="U2174" s="348"/>
      <c r="V2174" s="63"/>
      <c r="W2174" s="63"/>
    </row>
    <row r="2175" spans="1:23" ht="15">
      <c r="A2175" s="28" t="s">
        <v>145</v>
      </c>
      <c r="B2175" s="63" t="s">
        <v>788</v>
      </c>
      <c r="E2175" s="9" t="s">
        <v>279</v>
      </c>
      <c r="F2175" s="9" t="s">
        <v>279</v>
      </c>
      <c r="G2175" s="9" t="s">
        <v>279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54"/>
        <v>1271.8000000000002</v>
      </c>
      <c r="O2175" t="s">
        <v>317</v>
      </c>
      <c r="S2175" s="63"/>
      <c r="T2175" s="63"/>
      <c r="U2175" s="348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279</v>
      </c>
      <c r="M2176" s="67">
        <f t="shared" si="54"/>
        <v>1194.8000000000013</v>
      </c>
      <c r="S2176" s="278"/>
      <c r="T2176" s="63"/>
      <c r="U2176" s="348"/>
      <c r="V2176" s="63"/>
      <c r="W2176" s="63"/>
    </row>
    <row r="2177" spans="1:23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54"/>
        <v>1187.2999999999984</v>
      </c>
      <c r="O2177" t="s">
        <v>288</v>
      </c>
      <c r="S2177" s="63"/>
      <c r="T2177" s="63"/>
      <c r="U2177" s="360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54"/>
        <v>1181.2999999999993</v>
      </c>
      <c r="O2178" t="s">
        <v>294</v>
      </c>
      <c r="S2178" s="278"/>
      <c r="T2178" s="63"/>
      <c r="U2178" s="348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54"/>
        <v>1160.6999999999989</v>
      </c>
      <c r="O2179" t="s">
        <v>284</v>
      </c>
      <c r="S2179" s="278"/>
      <c r="T2179" s="63"/>
      <c r="U2179" s="360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279</v>
      </c>
      <c r="F2180" s="9" t="s">
        <v>279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54"/>
        <v>1159.2999999999986</v>
      </c>
      <c r="S2180" s="278"/>
      <c r="T2180" s="63"/>
      <c r="U2180" s="348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279</v>
      </c>
      <c r="F2181" s="9" t="s">
        <v>279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54"/>
        <v>1150.2999999999972</v>
      </c>
      <c r="S2181" s="63"/>
      <c r="T2181" s="63"/>
      <c r="U2181" s="348"/>
      <c r="V2181" s="63"/>
      <c r="W2181" s="63"/>
    </row>
    <row r="2182" spans="1:23" ht="15">
      <c r="A2182" s="28" t="s">
        <v>161</v>
      </c>
      <c r="B2182" s="63" t="s">
        <v>738</v>
      </c>
      <c r="E2182" s="9" t="s">
        <v>279</v>
      </c>
      <c r="F2182" s="9" t="s">
        <v>279</v>
      </c>
      <c r="G2182" s="9" t="s">
        <v>279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54"/>
        <v>1105.7000000000007</v>
      </c>
      <c r="O2182" t="s">
        <v>342</v>
      </c>
      <c r="S2182" s="63"/>
      <c r="T2182" s="63"/>
      <c r="U2182" s="349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279</v>
      </c>
      <c r="I2183" s="9">
        <v>0</v>
      </c>
      <c r="J2183" s="9">
        <v>378.5</v>
      </c>
      <c r="K2183" s="9" t="s">
        <v>279</v>
      </c>
      <c r="M2183" s="67">
        <f t="shared" si="54"/>
        <v>1056.3</v>
      </c>
      <c r="O2183" t="s">
        <v>293</v>
      </c>
      <c r="S2183" s="278"/>
      <c r="T2183" s="63"/>
      <c r="U2183" s="348"/>
      <c r="V2183" s="63"/>
      <c r="W2183" s="63"/>
    </row>
    <row r="2184" spans="1:23" ht="15">
      <c r="A2184" s="28" t="s">
        <v>275</v>
      </c>
      <c r="B2184" s="63" t="s">
        <v>779</v>
      </c>
      <c r="E2184" s="9" t="s">
        <v>279</v>
      </c>
      <c r="F2184" s="9" t="s">
        <v>279</v>
      </c>
      <c r="G2184" s="9" t="s">
        <v>279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54"/>
        <v>1055.9999999999991</v>
      </c>
      <c r="O2184" t="s">
        <v>298</v>
      </c>
      <c r="S2184" s="225"/>
      <c r="T2184" s="63"/>
      <c r="U2184" s="348"/>
      <c r="V2184" s="63"/>
      <c r="W2184" s="63"/>
    </row>
    <row r="2185" spans="1:23" ht="15">
      <c r="A2185" s="28" t="s">
        <v>276</v>
      </c>
      <c r="B2185" s="63" t="s">
        <v>746</v>
      </c>
      <c r="E2185" s="9" t="s">
        <v>279</v>
      </c>
      <c r="F2185" s="9" t="s">
        <v>279</v>
      </c>
      <c r="G2185" s="9" t="s">
        <v>279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54"/>
        <v>1026.4999999999973</v>
      </c>
      <c r="S2185" s="63"/>
      <c r="T2185" s="63"/>
      <c r="U2185" s="349"/>
      <c r="V2185" s="63"/>
      <c r="W2185" s="63"/>
    </row>
    <row r="2186" spans="1:23" ht="15">
      <c r="A2186" s="28" t="s">
        <v>277</v>
      </c>
      <c r="B2186" s="63" t="s">
        <v>783</v>
      </c>
      <c r="E2186" s="9" t="s">
        <v>279</v>
      </c>
      <c r="F2186" s="9" t="s">
        <v>279</v>
      </c>
      <c r="G2186" s="9" t="s">
        <v>279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55">SUM(E2186:K2186)</f>
        <v>1006.1000000000004</v>
      </c>
      <c r="O2186" t="s">
        <v>283</v>
      </c>
      <c r="S2186" s="63"/>
      <c r="T2186" s="63"/>
      <c r="U2186" s="348"/>
      <c r="V2186" s="63"/>
      <c r="W2186" s="63"/>
    </row>
    <row r="2187" spans="1:23" ht="15">
      <c r="A2187" s="28" t="s">
        <v>278</v>
      </c>
      <c r="B2187" s="63" t="s">
        <v>778</v>
      </c>
      <c r="E2187" s="9" t="s">
        <v>279</v>
      </c>
      <c r="F2187" s="9" t="s">
        <v>279</v>
      </c>
      <c r="G2187" s="9" t="s">
        <v>279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55"/>
        <v>1001.3000000000011</v>
      </c>
      <c r="S2187" s="28"/>
      <c r="T2187" s="63"/>
      <c r="U2187" s="360"/>
      <c r="V2187" s="63"/>
      <c r="W2187" s="63"/>
    </row>
    <row r="2188" spans="1:23" ht="15">
      <c r="A2188" s="28" t="s">
        <v>735</v>
      </c>
      <c r="B2188" s="63" t="s">
        <v>749</v>
      </c>
      <c r="E2188" s="9" t="s">
        <v>279</v>
      </c>
      <c r="F2188" s="9" t="s">
        <v>279</v>
      </c>
      <c r="G2188" s="9" t="s">
        <v>279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55"/>
        <v>1000.8000000000011</v>
      </c>
      <c r="O2188" t="s">
        <v>288</v>
      </c>
      <c r="S2188" s="63"/>
      <c r="T2188" s="63"/>
      <c r="U2188" s="348"/>
      <c r="V2188" s="63"/>
      <c r="W2188" s="63"/>
    </row>
    <row r="2189" spans="1:23" ht="15">
      <c r="A2189" s="28" t="s">
        <v>736</v>
      </c>
      <c r="B2189" s="63" t="s">
        <v>763</v>
      </c>
      <c r="E2189" s="9" t="s">
        <v>279</v>
      </c>
      <c r="F2189" s="9" t="s">
        <v>279</v>
      </c>
      <c r="G2189" s="9" t="s">
        <v>279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55"/>
        <v>997.40000000000055</v>
      </c>
      <c r="O2189" t="s">
        <v>284</v>
      </c>
      <c r="S2189" s="225"/>
      <c r="T2189" s="63"/>
      <c r="U2189" s="348"/>
      <c r="V2189" s="63"/>
      <c r="W2189" s="63"/>
    </row>
    <row r="2190" spans="1:23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55"/>
        <v>974</v>
      </c>
      <c r="O2190" t="s">
        <v>289</v>
      </c>
      <c r="S2190" s="225"/>
      <c r="T2190" s="63"/>
      <c r="U2190" s="349"/>
      <c r="V2190" s="63"/>
      <c r="W2190" s="63"/>
    </row>
    <row r="2191" spans="1:23" ht="15">
      <c r="A2191" s="28" t="s">
        <v>739</v>
      </c>
      <c r="B2191" s="229" t="s">
        <v>1656</v>
      </c>
      <c r="C2191" s="3"/>
      <c r="D2191" s="3"/>
      <c r="E2191" s="9" t="s">
        <v>279</v>
      </c>
      <c r="F2191" s="9" t="s">
        <v>279</v>
      </c>
      <c r="G2191" s="9" t="s">
        <v>279</v>
      </c>
      <c r="H2191" s="9" t="s">
        <v>279</v>
      </c>
      <c r="I2191" s="9">
        <v>0</v>
      </c>
      <c r="J2191" s="9">
        <v>514.5</v>
      </c>
      <c r="K2191" s="217">
        <v>444.40000000000146</v>
      </c>
      <c r="M2191" s="67">
        <f t="shared" si="55"/>
        <v>958.90000000000146</v>
      </c>
      <c r="O2191" t="s">
        <v>284</v>
      </c>
      <c r="S2191" s="63"/>
      <c r="T2191" s="63"/>
      <c r="U2191" s="349"/>
      <c r="V2191" s="63"/>
      <c r="W2191" s="63"/>
    </row>
    <row r="2192" spans="1:23" ht="15">
      <c r="A2192" s="28" t="s">
        <v>745</v>
      </c>
      <c r="B2192" s="28" t="s">
        <v>733</v>
      </c>
      <c r="E2192" s="9" t="s">
        <v>279</v>
      </c>
      <c r="F2192" s="9" t="s">
        <v>279</v>
      </c>
      <c r="G2192" s="9" t="s">
        <v>279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55"/>
        <v>958.70000000000073</v>
      </c>
      <c r="S2192" s="63"/>
      <c r="T2192" s="63"/>
      <c r="U2192" s="348"/>
      <c r="V2192" s="63"/>
      <c r="W2192" s="63"/>
    </row>
    <row r="2193" spans="1:23" ht="15">
      <c r="A2193" s="28" t="s">
        <v>747</v>
      </c>
      <c r="B2193" s="63" t="s">
        <v>790</v>
      </c>
      <c r="E2193" s="9" t="s">
        <v>279</v>
      </c>
      <c r="F2193" s="9" t="s">
        <v>279</v>
      </c>
      <c r="G2193" s="9" t="s">
        <v>279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55"/>
        <v>907.69999999999982</v>
      </c>
      <c r="S2193" s="278"/>
      <c r="T2193" s="63"/>
      <c r="U2193" s="348"/>
      <c r="V2193" s="63"/>
      <c r="W2193" s="63"/>
    </row>
    <row r="2194" spans="1:23" ht="15">
      <c r="A2194" s="28" t="s">
        <v>750</v>
      </c>
      <c r="B2194" s="278" t="s">
        <v>2011</v>
      </c>
      <c r="C2194" s="3"/>
      <c r="D2194" s="3"/>
      <c r="E2194" s="9" t="s">
        <v>279</v>
      </c>
      <c r="F2194" s="9" t="s">
        <v>279</v>
      </c>
      <c r="G2194" s="9" t="s">
        <v>279</v>
      </c>
      <c r="H2194" s="9" t="s">
        <v>279</v>
      </c>
      <c r="I2194" s="9">
        <v>0</v>
      </c>
      <c r="J2194" s="9">
        <v>348.99999999999818</v>
      </c>
      <c r="K2194" s="212">
        <v>550.79999999999927</v>
      </c>
      <c r="M2194" s="67">
        <f t="shared" si="55"/>
        <v>899.79999999999745</v>
      </c>
      <c r="O2194" t="s">
        <v>301</v>
      </c>
      <c r="S2194" s="278"/>
      <c r="T2194" s="63"/>
      <c r="U2194" s="348"/>
      <c r="V2194" s="63"/>
      <c r="W2194" s="63"/>
    </row>
    <row r="2195" spans="1:23" ht="15">
      <c r="A2195" s="28" t="s">
        <v>751</v>
      </c>
      <c r="B2195" s="63" t="s">
        <v>156</v>
      </c>
      <c r="E2195" s="9" t="s">
        <v>279</v>
      </c>
      <c r="F2195" s="9" t="s">
        <v>279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55"/>
        <v>868.64999999999964</v>
      </c>
      <c r="S2195" s="225"/>
      <c r="T2195" s="63"/>
      <c r="U2195" s="348"/>
      <c r="V2195" s="63"/>
      <c r="W2195" s="63"/>
    </row>
    <row r="2196" spans="1:23" ht="15">
      <c r="A2196" s="28" t="s">
        <v>754</v>
      </c>
      <c r="B2196" s="63" t="s">
        <v>762</v>
      </c>
      <c r="E2196" s="9" t="s">
        <v>279</v>
      </c>
      <c r="F2196" s="9" t="s">
        <v>279</v>
      </c>
      <c r="G2196" s="9" t="s">
        <v>279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55"/>
        <v>818.80000000000109</v>
      </c>
      <c r="S2196" s="225"/>
      <c r="T2196" s="63"/>
      <c r="U2196" s="348"/>
      <c r="V2196" s="63"/>
      <c r="W2196" s="63"/>
    </row>
    <row r="2197" spans="1:23" ht="15">
      <c r="A2197" s="28" t="s">
        <v>756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279</v>
      </c>
      <c r="K2197" s="9" t="s">
        <v>279</v>
      </c>
      <c r="L2197" s="69"/>
      <c r="M2197" s="67">
        <f t="shared" si="55"/>
        <v>802.09999999999832</v>
      </c>
      <c r="O2197" t="s">
        <v>293</v>
      </c>
      <c r="S2197" s="225"/>
      <c r="T2197" s="63"/>
      <c r="U2197" s="348"/>
      <c r="V2197" s="63"/>
      <c r="W2197" s="63"/>
    </row>
    <row r="2198" spans="1:23" ht="15">
      <c r="A2198" s="28" t="s">
        <v>761</v>
      </c>
      <c r="B2198" s="63" t="s">
        <v>800</v>
      </c>
      <c r="E2198" s="9" t="s">
        <v>279</v>
      </c>
      <c r="F2198" s="9" t="s">
        <v>279</v>
      </c>
      <c r="G2198" s="9" t="s">
        <v>279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55"/>
        <v>784.79999999999654</v>
      </c>
      <c r="S2198" s="63"/>
      <c r="T2198" s="63"/>
      <c r="U2198" s="348"/>
      <c r="V2198" s="63"/>
      <c r="W2198" s="63"/>
    </row>
    <row r="2199" spans="1:23" ht="15">
      <c r="A2199" s="28" t="s">
        <v>765</v>
      </c>
      <c r="B2199" s="229" t="s">
        <v>1661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4">
        <v>680.29999999999927</v>
      </c>
      <c r="K2199" s="9">
        <v>71.400000000000546</v>
      </c>
      <c r="M2199" s="67">
        <f t="shared" si="55"/>
        <v>751.69999999999982</v>
      </c>
      <c r="O2199" t="s">
        <v>282</v>
      </c>
      <c r="R2199" s="21" t="s">
        <v>1772</v>
      </c>
      <c r="S2199" s="278"/>
      <c r="T2199" s="63"/>
      <c r="U2199" s="348"/>
      <c r="V2199" s="63"/>
      <c r="W2199" s="63"/>
    </row>
    <row r="2200" spans="1:23" ht="15">
      <c r="A2200" s="28" t="s">
        <v>766</v>
      </c>
      <c r="B2200" s="63" t="s">
        <v>782</v>
      </c>
      <c r="E2200" s="9" t="s">
        <v>279</v>
      </c>
      <c r="F2200" s="9" t="s">
        <v>279</v>
      </c>
      <c r="G2200" s="9" t="s">
        <v>279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55"/>
        <v>737.90000000000146</v>
      </c>
      <c r="S2200" s="63"/>
      <c r="T2200" s="63"/>
      <c r="U2200" s="348"/>
      <c r="V2200" s="63"/>
      <c r="W2200" s="63"/>
    </row>
    <row r="2201" spans="1:23" ht="15">
      <c r="A2201" s="28" t="s">
        <v>767</v>
      </c>
      <c r="B2201" s="229" t="s">
        <v>1647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462.00000000000182</v>
      </c>
      <c r="K2201" s="9">
        <v>264.19999999999891</v>
      </c>
      <c r="M2201" s="67">
        <f t="shared" si="55"/>
        <v>726.20000000000073</v>
      </c>
      <c r="S2201" s="63"/>
      <c r="T2201" s="63"/>
      <c r="U2201" s="360"/>
      <c r="V2201" s="63"/>
      <c r="W2201" s="63"/>
    </row>
    <row r="2202" spans="1:23" ht="15">
      <c r="A2202" s="28" t="s">
        <v>773</v>
      </c>
      <c r="B2202" s="225" t="s">
        <v>1662</v>
      </c>
      <c r="C2202" s="3"/>
      <c r="D2202" s="3"/>
      <c r="E2202" s="9" t="s">
        <v>279</v>
      </c>
      <c r="F2202" s="9" t="s">
        <v>279</v>
      </c>
      <c r="G2202" s="9" t="s">
        <v>279</v>
      </c>
      <c r="H2202" s="9" t="s">
        <v>279</v>
      </c>
      <c r="I2202" s="9">
        <v>0</v>
      </c>
      <c r="J2202" s="217">
        <v>580.00000000000273</v>
      </c>
      <c r="K2202" s="9">
        <v>129.69999999999982</v>
      </c>
      <c r="M2202" s="67">
        <f t="shared" si="55"/>
        <v>709.70000000000255</v>
      </c>
      <c r="O2202" t="s">
        <v>343</v>
      </c>
      <c r="S2202" s="63"/>
      <c r="T2202" s="63"/>
      <c r="U2202" s="348"/>
      <c r="V2202" s="63"/>
      <c r="W2202" s="63"/>
    </row>
    <row r="2203" spans="1:23" ht="15">
      <c r="A2203" s="28" t="s">
        <v>781</v>
      </c>
      <c r="B2203" s="63" t="s">
        <v>748</v>
      </c>
      <c r="E2203" s="9" t="s">
        <v>279</v>
      </c>
      <c r="F2203" s="9" t="s">
        <v>279</v>
      </c>
      <c r="G2203" s="9" t="s">
        <v>279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55"/>
        <v>707.39999999999691</v>
      </c>
      <c r="S2203" s="278"/>
      <c r="T2203" s="63"/>
      <c r="U2203" s="349"/>
      <c r="V2203" s="63"/>
      <c r="W2203" s="63"/>
    </row>
    <row r="2204" spans="1:23" ht="15">
      <c r="A2204" s="28" t="s">
        <v>785</v>
      </c>
      <c r="B2204" s="229" t="s">
        <v>1657</v>
      </c>
      <c r="C2204" s="3"/>
      <c r="D2204" s="3"/>
      <c r="E2204" s="9" t="s">
        <v>279</v>
      </c>
      <c r="F2204" s="9" t="s">
        <v>279</v>
      </c>
      <c r="G2204" s="9" t="s">
        <v>279</v>
      </c>
      <c r="H2204" s="9" t="s">
        <v>279</v>
      </c>
      <c r="I2204" s="9">
        <v>0</v>
      </c>
      <c r="J2204" s="9">
        <v>487.30000000000109</v>
      </c>
      <c r="K2204" s="9">
        <v>190.39999999999964</v>
      </c>
      <c r="M2204" s="67">
        <f t="shared" si="55"/>
        <v>677.70000000000073</v>
      </c>
      <c r="S2204" s="28"/>
      <c r="T2204" s="63"/>
      <c r="U2204" s="348"/>
      <c r="V2204" s="63"/>
      <c r="W2204" s="63"/>
    </row>
    <row r="2205" spans="1:23" ht="15">
      <c r="A2205" s="28" t="s">
        <v>786</v>
      </c>
      <c r="B2205" s="63" t="s">
        <v>764</v>
      </c>
      <c r="E2205" s="9" t="s">
        <v>279</v>
      </c>
      <c r="F2205" s="9" t="s">
        <v>279</v>
      </c>
      <c r="G2205" s="9" t="s">
        <v>279</v>
      </c>
      <c r="H2205" s="9">
        <v>145.50000000000091</v>
      </c>
      <c r="I2205" s="9">
        <v>0</v>
      </c>
      <c r="J2205" s="9">
        <v>526.70000000000073</v>
      </c>
      <c r="K2205" s="64" t="s">
        <v>280</v>
      </c>
      <c r="M2205" s="67">
        <f t="shared" si="55"/>
        <v>672.20000000000164</v>
      </c>
      <c r="S2205" s="63"/>
      <c r="T2205" s="63"/>
      <c r="U2205" s="348"/>
      <c r="V2205" s="63"/>
      <c r="W2205" s="63"/>
    </row>
    <row r="2206" spans="1:23" ht="15">
      <c r="A2206" s="28" t="s">
        <v>787</v>
      </c>
      <c r="B2206" s="229" t="s">
        <v>1659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448.39999999999873</v>
      </c>
      <c r="K2206" s="9">
        <v>217.800000000002</v>
      </c>
      <c r="M2206" s="67">
        <f t="shared" si="55"/>
        <v>666.20000000000073</v>
      </c>
      <c r="S2206" s="225"/>
      <c r="T2206" s="63"/>
      <c r="U2206" s="348"/>
      <c r="V2206" s="63"/>
      <c r="W2206" s="63"/>
    </row>
    <row r="2207" spans="1:23" ht="15">
      <c r="A2207" s="28" t="s">
        <v>793</v>
      </c>
      <c r="B2207" s="28" t="s">
        <v>728</v>
      </c>
      <c r="E2207" s="9" t="s">
        <v>279</v>
      </c>
      <c r="F2207" s="9" t="s">
        <v>279</v>
      </c>
      <c r="G2207" s="9" t="s">
        <v>279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55"/>
        <v>661.70000000000164</v>
      </c>
      <c r="S2207" s="63"/>
      <c r="T2207" s="63"/>
      <c r="U2207" s="348"/>
      <c r="V2207" s="63"/>
      <c r="W2207" s="63"/>
    </row>
    <row r="2208" spans="1:23" ht="15">
      <c r="A2208" s="28" t="s">
        <v>794</v>
      </c>
      <c r="B2208" s="278" t="s">
        <v>2012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424.89999999999964</v>
      </c>
      <c r="K2208" s="9">
        <v>212.99999999999818</v>
      </c>
      <c r="M2208" s="67">
        <f t="shared" si="55"/>
        <v>637.89999999999782</v>
      </c>
      <c r="S2208" s="63"/>
      <c r="T2208" s="63"/>
      <c r="U2208" s="348"/>
      <c r="V2208" s="63"/>
      <c r="W2208" s="63"/>
    </row>
    <row r="2209" spans="1:23" ht="15">
      <c r="A2209" s="28" t="s">
        <v>795</v>
      </c>
      <c r="B2209" s="278" t="s">
        <v>2007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367.5</v>
      </c>
      <c r="K2209" s="9">
        <v>269.70000000000073</v>
      </c>
      <c r="M2209" s="67">
        <f t="shared" si="55"/>
        <v>637.20000000000073</v>
      </c>
      <c r="S2209" s="63"/>
      <c r="T2209" s="63"/>
      <c r="U2209" s="348"/>
      <c r="V2209" s="63"/>
      <c r="W2209" s="63"/>
    </row>
    <row r="2210" spans="1:23" ht="15">
      <c r="A2210" s="28" t="s">
        <v>797</v>
      </c>
      <c r="B2210" s="28" t="s">
        <v>734</v>
      </c>
      <c r="E2210" s="9" t="s">
        <v>279</v>
      </c>
      <c r="F2210" s="9" t="s">
        <v>279</v>
      </c>
      <c r="G2210" s="9" t="s">
        <v>279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55"/>
        <v>625.5</v>
      </c>
      <c r="S2210" s="63"/>
      <c r="T2210" s="63"/>
      <c r="U2210" s="361"/>
      <c r="V2210" s="63"/>
      <c r="W2210" s="63"/>
    </row>
    <row r="2211" spans="1:23" ht="15">
      <c r="A2211" s="28" t="s">
        <v>798</v>
      </c>
      <c r="B2211" s="63" t="s">
        <v>755</v>
      </c>
      <c r="E2211" s="9" t="s">
        <v>279</v>
      </c>
      <c r="F2211" s="9" t="s">
        <v>279</v>
      </c>
      <c r="G2211" s="9" t="s">
        <v>279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55"/>
        <v>610.25000000000273</v>
      </c>
      <c r="S2211" s="278"/>
      <c r="T2211" s="63"/>
      <c r="U2211" s="360"/>
      <c r="V2211" s="63"/>
      <c r="W2211" s="63"/>
    </row>
    <row r="2212" spans="1:23" ht="15">
      <c r="A2212" s="28" t="s">
        <v>799</v>
      </c>
      <c r="B2212" s="63" t="s">
        <v>178</v>
      </c>
      <c r="E2212" s="217">
        <v>191.6</v>
      </c>
      <c r="F2212" s="212">
        <v>410.6</v>
      </c>
      <c r="G2212" s="9" t="s">
        <v>279</v>
      </c>
      <c r="H2212" s="9" t="s">
        <v>279</v>
      </c>
      <c r="I2212" s="9">
        <v>0</v>
      </c>
      <c r="J2212" s="9" t="s">
        <v>279</v>
      </c>
      <c r="K2212" s="9" t="s">
        <v>279</v>
      </c>
      <c r="L2212" s="69"/>
      <c r="M2212" s="67">
        <f t="shared" si="55"/>
        <v>602.20000000000005</v>
      </c>
      <c r="O2212" t="s">
        <v>320</v>
      </c>
      <c r="S2212" s="278"/>
      <c r="T2212" s="63"/>
      <c r="U2212" s="348"/>
      <c r="V2212" s="63"/>
      <c r="W2212" s="63"/>
    </row>
    <row r="2213" spans="1:23" ht="15">
      <c r="A2213" s="28" t="s">
        <v>802</v>
      </c>
      <c r="B2213" s="63" t="s">
        <v>769</v>
      </c>
      <c r="E2213" s="9" t="s">
        <v>279</v>
      </c>
      <c r="F2213" s="9" t="s">
        <v>279</v>
      </c>
      <c r="G2213" s="9" t="s">
        <v>279</v>
      </c>
      <c r="H2213" s="214">
        <v>600.350000000004</v>
      </c>
      <c r="I2213" s="9">
        <v>0</v>
      </c>
      <c r="J2213" s="9" t="s">
        <v>279</v>
      </c>
      <c r="K2213" s="9" t="s">
        <v>279</v>
      </c>
      <c r="L2213" s="69"/>
      <c r="M2213" s="67">
        <f t="shared" si="55"/>
        <v>600.350000000004</v>
      </c>
      <c r="O2213" t="s">
        <v>282</v>
      </c>
      <c r="R2213" t="s">
        <v>1772</v>
      </c>
      <c r="S2213" s="63"/>
      <c r="T2213" s="63"/>
      <c r="U2213" s="348"/>
      <c r="V2213" s="63"/>
      <c r="W2213" s="63"/>
    </row>
    <row r="2214" spans="1:23" ht="15">
      <c r="A2214" s="28" t="s">
        <v>896</v>
      </c>
      <c r="B2214" s="278" t="s">
        <v>2015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335.99999999999909</v>
      </c>
      <c r="K2214" s="9">
        <v>263.19999999999982</v>
      </c>
      <c r="M2214" s="67">
        <f t="shared" si="55"/>
        <v>599.19999999999891</v>
      </c>
      <c r="S2214" s="63"/>
      <c r="T2214" s="63"/>
      <c r="U2214" s="348"/>
      <c r="V2214" s="63"/>
      <c r="W2214" s="63"/>
    </row>
    <row r="2215" spans="1:23" ht="15">
      <c r="A2215" s="28" t="s">
        <v>897</v>
      </c>
      <c r="B2215" s="229" t="s">
        <v>1660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422.59999999999945</v>
      </c>
      <c r="K2215" s="9">
        <v>164.60000000000127</v>
      </c>
      <c r="M2215" s="67">
        <f t="shared" si="55"/>
        <v>587.20000000000073</v>
      </c>
      <c r="S2215" s="63"/>
      <c r="T2215" s="63"/>
      <c r="U2215" s="349"/>
      <c r="V2215" s="63"/>
      <c r="W2215" s="63"/>
    </row>
    <row r="2216" spans="1:23" ht="15">
      <c r="A2216" s="28" t="s">
        <v>898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279</v>
      </c>
      <c r="K2216" s="9" t="s">
        <v>279</v>
      </c>
      <c r="L2216" s="69"/>
      <c r="M2216" s="67">
        <f t="shared" si="55"/>
        <v>581.9</v>
      </c>
      <c r="S2216" s="278"/>
      <c r="T2216" s="63"/>
      <c r="U2216" s="361"/>
      <c r="V2216" s="63"/>
      <c r="W2216" s="63"/>
    </row>
    <row r="2217" spans="1:23" ht="15">
      <c r="A2217" s="28" t="s">
        <v>899</v>
      </c>
      <c r="B2217" s="278" t="s">
        <v>2013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391.70000000000073</v>
      </c>
      <c r="K2217" s="9">
        <v>186.69999999999891</v>
      </c>
      <c r="M2217" s="67">
        <f t="shared" si="55"/>
        <v>578.39999999999964</v>
      </c>
      <c r="S2217" s="278"/>
      <c r="T2217" s="63"/>
      <c r="U2217" s="360"/>
      <c r="V2217" s="63"/>
      <c r="W2217" s="63"/>
    </row>
    <row r="2218" spans="1:23" ht="15">
      <c r="A2218" s="28" t="s">
        <v>900</v>
      </c>
      <c r="B2218" s="229" t="s">
        <v>1653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6">SUM(E2218:K2218)</f>
        <v>571.09999999999582</v>
      </c>
      <c r="S2218" s="28"/>
      <c r="T2218" s="63"/>
      <c r="U2218" s="360"/>
      <c r="V2218" s="63"/>
      <c r="W2218" s="63"/>
    </row>
    <row r="2219" spans="1:23" ht="15">
      <c r="A2219" s="28" t="s">
        <v>901</v>
      </c>
      <c r="B2219" s="278" t="s">
        <v>2022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>
        <v>416.00000000000091</v>
      </c>
      <c r="K2219" s="9">
        <v>110.99999999999909</v>
      </c>
      <c r="M2219" s="67">
        <f t="shared" si="56"/>
        <v>527</v>
      </c>
      <c r="S2219" s="225"/>
      <c r="T2219" s="63"/>
      <c r="U2219" s="349"/>
      <c r="V2219" s="63"/>
      <c r="W2219" s="63"/>
    </row>
    <row r="2220" spans="1:23" ht="15">
      <c r="A2220" s="28" t="s">
        <v>902</v>
      </c>
      <c r="B2220" s="229" t="s">
        <v>1655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>
        <v>461.79999999999836</v>
      </c>
      <c r="K2220" s="9">
        <v>62.400000000000546</v>
      </c>
      <c r="M2220" s="67">
        <f t="shared" si="56"/>
        <v>524.19999999999891</v>
      </c>
      <c r="S2220" s="278"/>
      <c r="T2220" s="63"/>
      <c r="U2220" s="360"/>
      <c r="V2220" s="63"/>
      <c r="W2220" s="63"/>
    </row>
    <row r="2221" spans="1:23" ht="15">
      <c r="A2221" s="28" t="s">
        <v>903</v>
      </c>
      <c r="B2221" s="229" t="s">
        <v>1652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>
        <v>341.10000000000036</v>
      </c>
      <c r="K2221" s="9">
        <v>178.09999999999854</v>
      </c>
      <c r="M2221" s="67">
        <f t="shared" si="56"/>
        <v>519.19999999999891</v>
      </c>
      <c r="S2221" s="28"/>
      <c r="T2221" s="63"/>
      <c r="U2221" s="348"/>
      <c r="V2221" s="63"/>
      <c r="W2221" s="63"/>
    </row>
    <row r="2222" spans="1:23" ht="15">
      <c r="A2222" s="28" t="s">
        <v>904</v>
      </c>
      <c r="B2222" s="63" t="s">
        <v>158</v>
      </c>
      <c r="E2222" s="9" t="s">
        <v>279</v>
      </c>
      <c r="F2222" s="9" t="s">
        <v>279</v>
      </c>
      <c r="G2222" s="9">
        <v>303.5</v>
      </c>
      <c r="H2222" s="9">
        <v>212.19999999999891</v>
      </c>
      <c r="I2222" s="9">
        <v>0</v>
      </c>
      <c r="J2222" s="9" t="s">
        <v>279</v>
      </c>
      <c r="K2222" s="9" t="s">
        <v>279</v>
      </c>
      <c r="L2222" s="69"/>
      <c r="M2222" s="67">
        <f t="shared" si="56"/>
        <v>515.69999999999891</v>
      </c>
      <c r="S2222" s="225"/>
      <c r="T2222" s="63"/>
      <c r="U2222" s="348"/>
      <c r="V2222" s="63"/>
      <c r="W2222" s="63"/>
    </row>
    <row r="2223" spans="1:23" ht="15">
      <c r="A2223" s="28" t="s">
        <v>905</v>
      </c>
      <c r="B2223" s="229" t="s">
        <v>1644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9">
        <v>430</v>
      </c>
      <c r="K2223" s="9">
        <v>76.19999999999709</v>
      </c>
      <c r="M2223" s="67">
        <f t="shared" si="56"/>
        <v>506.19999999999709</v>
      </c>
      <c r="S2223" s="63"/>
      <c r="T2223" s="63"/>
      <c r="U2223" s="360"/>
      <c r="V2223" s="63"/>
      <c r="W2223" s="63"/>
    </row>
    <row r="2224" spans="1:23" ht="15">
      <c r="A2224" s="28" t="s">
        <v>906</v>
      </c>
      <c r="B2224" s="229" t="s">
        <v>1645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502.39999999999964</v>
      </c>
      <c r="K2224" s="9" t="s">
        <v>279</v>
      </c>
      <c r="M2224" s="67">
        <f t="shared" si="56"/>
        <v>502.39999999999964</v>
      </c>
      <c r="S2224" s="63"/>
      <c r="T2224" s="63"/>
      <c r="U2224" s="360"/>
      <c r="V2224" s="63"/>
      <c r="W2224" s="63"/>
    </row>
    <row r="2225" spans="1:23" ht="15">
      <c r="A2225" s="28" t="s">
        <v>907</v>
      </c>
      <c r="B2225" s="229" t="s">
        <v>1654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279.29999999999927</v>
      </c>
      <c r="K2225" s="9">
        <v>219.50000000000091</v>
      </c>
      <c r="M2225" s="67">
        <f t="shared" si="56"/>
        <v>498.80000000000018</v>
      </c>
      <c r="S2225" s="278"/>
      <c r="T2225" s="63"/>
      <c r="U2225" s="348"/>
      <c r="V2225" s="63"/>
      <c r="W2225" s="63"/>
    </row>
    <row r="2226" spans="1:23" ht="15">
      <c r="A2226" s="28" t="s">
        <v>908</v>
      </c>
      <c r="B2226" s="278" t="s">
        <v>2057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 t="s">
        <v>279</v>
      </c>
      <c r="K2226" s="213">
        <v>489.45000000000073</v>
      </c>
      <c r="M2226" s="67">
        <f t="shared" si="56"/>
        <v>489.45000000000073</v>
      </c>
      <c r="O2226" t="s">
        <v>283</v>
      </c>
    </row>
    <row r="2227" spans="1:23" ht="15">
      <c r="A2227" s="28" t="s">
        <v>909</v>
      </c>
      <c r="B2227" s="63" t="s">
        <v>744</v>
      </c>
      <c r="E2227" s="9" t="s">
        <v>279</v>
      </c>
      <c r="F2227" s="9" t="s">
        <v>279</v>
      </c>
      <c r="G2227" s="9" t="s">
        <v>279</v>
      </c>
      <c r="H2227" s="217">
        <v>459.49999999999909</v>
      </c>
      <c r="I2227" s="9">
        <v>0</v>
      </c>
      <c r="J2227" s="9" t="s">
        <v>279</v>
      </c>
      <c r="K2227" s="9" t="s">
        <v>279</v>
      </c>
      <c r="L2227" s="69"/>
      <c r="M2227" s="67">
        <f t="shared" si="56"/>
        <v>459.49999999999909</v>
      </c>
      <c r="O2227" t="s">
        <v>285</v>
      </c>
    </row>
    <row r="2228" spans="1:23" ht="15">
      <c r="A2228" s="28" t="s">
        <v>910</v>
      </c>
      <c r="B2228" s="278" t="s">
        <v>2056</v>
      </c>
      <c r="C2228" s="3"/>
      <c r="D2228" s="3"/>
      <c r="E2228" s="9" t="s">
        <v>279</v>
      </c>
      <c r="F2228" s="9" t="s">
        <v>279</v>
      </c>
      <c r="G2228" s="9" t="s">
        <v>279</v>
      </c>
      <c r="H2228" s="9" t="s">
        <v>279</v>
      </c>
      <c r="I2228" s="9">
        <v>0</v>
      </c>
      <c r="J2228" s="9" t="s">
        <v>279</v>
      </c>
      <c r="K2228" s="217">
        <v>438.5</v>
      </c>
      <c r="M2228" s="67">
        <f t="shared" si="56"/>
        <v>438.5</v>
      </c>
      <c r="O2228" t="s">
        <v>285</v>
      </c>
    </row>
    <row r="2229" spans="1:23" ht="15">
      <c r="A2229" s="28" t="s">
        <v>911</v>
      </c>
      <c r="B2229" s="278" t="s">
        <v>2010</v>
      </c>
      <c r="C2229" s="3"/>
      <c r="D2229" s="3"/>
      <c r="E2229" s="9" t="s">
        <v>279</v>
      </c>
      <c r="F2229" s="9" t="s">
        <v>279</v>
      </c>
      <c r="G2229" s="9" t="s">
        <v>279</v>
      </c>
      <c r="H2229" s="9" t="s">
        <v>279</v>
      </c>
      <c r="I2229" s="9">
        <v>0</v>
      </c>
      <c r="J2229" s="9">
        <v>345.29999999999927</v>
      </c>
      <c r="K2229" s="9">
        <v>91.799999999999272</v>
      </c>
      <c r="M2229" s="67">
        <f t="shared" si="56"/>
        <v>437.09999999999854</v>
      </c>
    </row>
    <row r="2230" spans="1:23" ht="15">
      <c r="A2230" s="28" t="s">
        <v>912</v>
      </c>
      <c r="B2230" s="278" t="s">
        <v>2008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>
        <v>397.29999999999927</v>
      </c>
      <c r="K2230" s="9" t="s">
        <v>279</v>
      </c>
      <c r="M2230" s="67">
        <f t="shared" si="56"/>
        <v>397.29999999999927</v>
      </c>
    </row>
    <row r="2231" spans="1:23" ht="15">
      <c r="A2231" s="28" t="s">
        <v>913</v>
      </c>
      <c r="B2231" s="229" t="s">
        <v>1643</v>
      </c>
      <c r="C2231" s="3"/>
      <c r="D2231" s="3"/>
      <c r="E2231" s="9" t="s">
        <v>279</v>
      </c>
      <c r="F2231" s="9" t="s">
        <v>279</v>
      </c>
      <c r="G2231" s="9" t="s">
        <v>279</v>
      </c>
      <c r="H2231" s="9" t="s">
        <v>279</v>
      </c>
      <c r="I2231" s="9">
        <v>0</v>
      </c>
      <c r="J2231" s="9">
        <v>303.69999999999982</v>
      </c>
      <c r="K2231" s="9">
        <v>92.899999999998727</v>
      </c>
      <c r="M2231" s="67">
        <f t="shared" si="56"/>
        <v>396.59999999999854</v>
      </c>
    </row>
    <row r="2232" spans="1:23" ht="15">
      <c r="A2232" s="28" t="s">
        <v>914</v>
      </c>
      <c r="B2232" s="278" t="s">
        <v>2014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357.30000000000109</v>
      </c>
      <c r="K2232" s="9">
        <v>7.6999999999989086</v>
      </c>
      <c r="M2232" s="67">
        <f t="shared" si="56"/>
        <v>365</v>
      </c>
    </row>
    <row r="2233" spans="1:23" ht="15">
      <c r="A2233" s="28" t="s">
        <v>915</v>
      </c>
      <c r="B2233" s="278" t="s">
        <v>2006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>
        <v>250.50000000000091</v>
      </c>
      <c r="K2233" s="9">
        <v>80.000000000000909</v>
      </c>
      <c r="M2233" s="67">
        <f t="shared" si="56"/>
        <v>330.50000000000182</v>
      </c>
    </row>
    <row r="2234" spans="1:23" ht="15">
      <c r="A2234" s="28" t="s">
        <v>916</v>
      </c>
      <c r="B2234" s="278" t="s">
        <v>2034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324.70000000000073</v>
      </c>
      <c r="M2234" s="67">
        <f t="shared" si="56"/>
        <v>324.70000000000073</v>
      </c>
    </row>
    <row r="2235" spans="1:23" ht="15">
      <c r="A2235" s="28" t="s">
        <v>917</v>
      </c>
      <c r="B2235" s="278" t="s">
        <v>2029</v>
      </c>
      <c r="C2235" s="3"/>
      <c r="D2235" s="3"/>
      <c r="E2235" s="9" t="s">
        <v>279</v>
      </c>
      <c r="F2235" s="9" t="s">
        <v>279</v>
      </c>
      <c r="G2235" s="9" t="s">
        <v>279</v>
      </c>
      <c r="H2235" s="9" t="s">
        <v>279</v>
      </c>
      <c r="I2235" s="9">
        <v>0</v>
      </c>
      <c r="J2235" s="9" t="s">
        <v>279</v>
      </c>
      <c r="K2235" s="9">
        <v>322.59999999999945</v>
      </c>
      <c r="M2235" s="67">
        <f t="shared" si="56"/>
        <v>322.59999999999945</v>
      </c>
    </row>
    <row r="2236" spans="1:23" ht="15">
      <c r="A2236" s="28" t="s">
        <v>918</v>
      </c>
      <c r="B2236" s="278" t="s">
        <v>2031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292.50000000000091</v>
      </c>
      <c r="M2236" s="67">
        <f t="shared" si="56"/>
        <v>292.50000000000091</v>
      </c>
    </row>
    <row r="2237" spans="1:23" ht="15">
      <c r="A2237" s="28" t="s">
        <v>919</v>
      </c>
      <c r="B2237" s="63" t="s">
        <v>784</v>
      </c>
      <c r="E2237" s="9" t="s">
        <v>279</v>
      </c>
      <c r="F2237" s="9" t="s">
        <v>279</v>
      </c>
      <c r="G2237" s="9" t="s">
        <v>279</v>
      </c>
      <c r="H2237" s="9">
        <v>236.90000000000055</v>
      </c>
      <c r="I2237" s="9">
        <v>0</v>
      </c>
      <c r="J2237" s="9" t="s">
        <v>279</v>
      </c>
      <c r="K2237" s="9" t="s">
        <v>279</v>
      </c>
      <c r="L2237" s="69"/>
      <c r="M2237" s="67">
        <f t="shared" si="56"/>
        <v>236.90000000000055</v>
      </c>
    </row>
    <row r="2238" spans="1:23" ht="15">
      <c r="A2238" s="28" t="s">
        <v>920</v>
      </c>
      <c r="B2238" s="278" t="s">
        <v>2030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M2238" s="67">
        <f t="shared" si="56"/>
        <v>225.10000000000036</v>
      </c>
    </row>
    <row r="2239" spans="1:23" ht="15">
      <c r="A2239" s="28" t="s">
        <v>921</v>
      </c>
      <c r="B2239" s="278" t="s">
        <v>4520</v>
      </c>
      <c r="C2239" s="3"/>
      <c r="D2239" s="3"/>
      <c r="E2239" s="9" t="s">
        <v>279</v>
      </c>
      <c r="F2239" s="9" t="s">
        <v>279</v>
      </c>
      <c r="G2239" s="9" t="s">
        <v>279</v>
      </c>
      <c r="H2239" s="9" t="s">
        <v>279</v>
      </c>
      <c r="I2239" s="9">
        <v>0</v>
      </c>
      <c r="J2239" s="9" t="s">
        <v>279</v>
      </c>
      <c r="K2239" s="9">
        <v>211.50000000000182</v>
      </c>
      <c r="M2239" s="67">
        <f t="shared" si="56"/>
        <v>211.50000000000182</v>
      </c>
    </row>
    <row r="2240" spans="1:23" ht="15">
      <c r="A2240" s="28" t="s">
        <v>922</v>
      </c>
      <c r="B2240" s="63" t="s">
        <v>164</v>
      </c>
      <c r="E2240" s="9" t="s">
        <v>279</v>
      </c>
      <c r="F2240" s="9" t="s">
        <v>279</v>
      </c>
      <c r="G2240" s="9">
        <v>195.1</v>
      </c>
      <c r="H2240" s="9" t="s">
        <v>279</v>
      </c>
      <c r="I2240" s="9">
        <v>0</v>
      </c>
      <c r="J2240" s="9" t="s">
        <v>279</v>
      </c>
      <c r="K2240" s="9" t="s">
        <v>279</v>
      </c>
      <c r="L2240" s="69"/>
      <c r="M2240" s="67">
        <f t="shared" si="56"/>
        <v>195.1</v>
      </c>
    </row>
    <row r="2241" spans="1:13" ht="15">
      <c r="A2241" s="28" t="s">
        <v>923</v>
      </c>
      <c r="B2241" s="278" t="s">
        <v>2161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>
        <v>152.49999999999818</v>
      </c>
      <c r="M2241" s="67">
        <f t="shared" si="56"/>
        <v>152.49999999999818</v>
      </c>
    </row>
    <row r="2242" spans="1:13" ht="15">
      <c r="A2242" s="28" t="s">
        <v>924</v>
      </c>
      <c r="B2242" s="63" t="s">
        <v>774</v>
      </c>
      <c r="E2242" s="9" t="s">
        <v>279</v>
      </c>
      <c r="F2242" s="9" t="s">
        <v>279</v>
      </c>
      <c r="G2242" s="9" t="s">
        <v>279</v>
      </c>
      <c r="H2242" s="9">
        <v>143.44999999999982</v>
      </c>
      <c r="I2242" s="9">
        <v>0</v>
      </c>
      <c r="J2242" s="9" t="s">
        <v>279</v>
      </c>
      <c r="K2242" s="9" t="s">
        <v>279</v>
      </c>
      <c r="L2242" s="69"/>
      <c r="M2242" s="67">
        <f t="shared" si="56"/>
        <v>143.44999999999982</v>
      </c>
    </row>
    <row r="2243" spans="1:13" ht="15">
      <c r="A2243" s="28" t="s">
        <v>925</v>
      </c>
      <c r="B2243" s="278" t="s">
        <v>2032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 t="s">
        <v>279</v>
      </c>
      <c r="K2243" s="9">
        <v>136.5</v>
      </c>
      <c r="M2243" s="67">
        <f t="shared" si="56"/>
        <v>136.5</v>
      </c>
    </row>
    <row r="2244" spans="1:13" ht="15">
      <c r="A2244" s="28" t="s">
        <v>926</v>
      </c>
      <c r="B2244" s="278" t="s">
        <v>2028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>
        <v>134.19999999999618</v>
      </c>
      <c r="M2244" s="67">
        <f t="shared" si="56"/>
        <v>134.19999999999618</v>
      </c>
    </row>
    <row r="2245" spans="1:13" ht="15">
      <c r="A2245" s="28" t="s">
        <v>927</v>
      </c>
      <c r="B2245" s="278" t="s">
        <v>2027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>
        <v>130.40000000000055</v>
      </c>
      <c r="M2245" s="67">
        <f t="shared" si="56"/>
        <v>130.40000000000055</v>
      </c>
    </row>
    <row r="2246" spans="1:13" ht="15">
      <c r="A2246" s="28" t="s">
        <v>928</v>
      </c>
      <c r="B2246" s="278" t="s">
        <v>2054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>
        <v>97.999999999998181</v>
      </c>
      <c r="M2246" s="67">
        <f t="shared" si="56"/>
        <v>97.999999999998181</v>
      </c>
    </row>
    <row r="2247" spans="1:13" ht="15">
      <c r="A2247" s="28" t="s">
        <v>929</v>
      </c>
      <c r="B2247" s="63" t="s">
        <v>179</v>
      </c>
      <c r="E2247" s="9">
        <v>79.5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 t="s">
        <v>279</v>
      </c>
      <c r="L2247" s="69"/>
      <c r="M2247" s="67">
        <f t="shared" si="56"/>
        <v>79.5</v>
      </c>
    </row>
    <row r="2248" spans="1:13" ht="15">
      <c r="A2248" s="28" t="s">
        <v>930</v>
      </c>
      <c r="B2248" s="278" t="s">
        <v>2033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>
        <v>37.099999999998545</v>
      </c>
      <c r="M2248" s="67">
        <f t="shared" si="56"/>
        <v>37.099999999998545</v>
      </c>
    </row>
    <row r="2249" spans="1:13" ht="15">
      <c r="A2249" s="28" t="s">
        <v>931</v>
      </c>
      <c r="B2249" s="225" t="s">
        <v>1641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69"/>
      <c r="M2249" s="67">
        <f t="shared" si="56"/>
        <v>0</v>
      </c>
    </row>
    <row r="2250" spans="1:13" ht="15">
      <c r="A2250" s="28" t="s">
        <v>932</v>
      </c>
      <c r="B2250" s="229" t="s">
        <v>1651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69"/>
      <c r="M2250" s="67">
        <f t="shared" si="56"/>
        <v>0</v>
      </c>
    </row>
    <row r="2251" spans="1:13" ht="15">
      <c r="A2251" s="28" t="s">
        <v>933</v>
      </c>
      <c r="B2251" s="229" t="s">
        <v>1650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 t="s">
        <v>279</v>
      </c>
      <c r="L2251" s="69"/>
      <c r="M2251" s="67">
        <f t="shared" si="56"/>
        <v>0</v>
      </c>
    </row>
    <row r="2252" spans="1:13" ht="15">
      <c r="A2252" s="28" t="s">
        <v>934</v>
      </c>
      <c r="B2252" s="229" t="s">
        <v>1648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69"/>
      <c r="M2252" s="67">
        <f t="shared" si="56"/>
        <v>0</v>
      </c>
    </row>
    <row r="2253" spans="1:13" ht="15">
      <c r="A2253" s="28" t="s">
        <v>935</v>
      </c>
      <c r="B2253" s="229" t="s">
        <v>1676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69"/>
      <c r="M2253" s="67">
        <f t="shared" si="56"/>
        <v>0</v>
      </c>
    </row>
    <row r="2254" spans="1:13" ht="15">
      <c r="A2254" s="28" t="s">
        <v>2505</v>
      </c>
      <c r="B2254" s="229" t="s">
        <v>1658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M2254" s="67">
        <f t="shared" si="56"/>
        <v>0</v>
      </c>
    </row>
    <row r="2255" spans="1:13" ht="15">
      <c r="A2255" s="28" t="s">
        <v>3323</v>
      </c>
      <c r="B2255" s="63" t="s">
        <v>3385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3324</v>
      </c>
      <c r="B2256" s="63" t="s">
        <v>3379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3325</v>
      </c>
      <c r="B2257" s="63" t="s">
        <v>3378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3326</v>
      </c>
      <c r="B2258" s="63" t="s">
        <v>3394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3327</v>
      </c>
      <c r="B2259" s="63" t="s">
        <v>3393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3328</v>
      </c>
      <c r="B2260" s="63" t="s">
        <v>3381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3329</v>
      </c>
      <c r="B2261" s="63" t="s">
        <v>3375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3330</v>
      </c>
      <c r="B2262" s="63" t="s">
        <v>3406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3331</v>
      </c>
      <c r="B2263" s="278" t="s">
        <v>3374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3332</v>
      </c>
      <c r="B2264" s="63" t="s">
        <v>3390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3333</v>
      </c>
      <c r="B2265" s="63" t="s">
        <v>3387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3334</v>
      </c>
      <c r="B2266" s="63" t="s">
        <v>3402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3335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3336</v>
      </c>
      <c r="B2268" s="63" t="s">
        <v>3403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3337</v>
      </c>
      <c r="B2269" s="63" t="s">
        <v>3382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3338</v>
      </c>
      <c r="B2270" s="63" t="s">
        <v>3376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3339</v>
      </c>
      <c r="B2271" s="63" t="s">
        <v>3383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3340</v>
      </c>
      <c r="B2272" s="63" t="s">
        <v>3380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3341</v>
      </c>
      <c r="B2273" s="63" t="s">
        <v>3391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3342</v>
      </c>
      <c r="B2274" s="63" t="s">
        <v>3386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3343</v>
      </c>
      <c r="B2275" s="278" t="s">
        <v>3373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3344</v>
      </c>
      <c r="B2276" s="63" t="s">
        <v>3388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3345</v>
      </c>
      <c r="B2277" s="63" t="s">
        <v>3407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3346</v>
      </c>
      <c r="B2278" s="63" t="s">
        <v>3377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4138</v>
      </c>
      <c r="B2279" s="63" t="s">
        <v>3384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4139</v>
      </c>
      <c r="B2280" s="63" t="s">
        <v>3405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4140</v>
      </c>
      <c r="B2281" s="63" t="s">
        <v>3389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57">SUM(E2288:K2288)</f>
        <v>2702.5000000000014</v>
      </c>
      <c r="O2288" t="s">
        <v>1830</v>
      </c>
      <c r="R2288" t="s">
        <v>1831</v>
      </c>
      <c r="S2288" s="278"/>
      <c r="T2288" s="63"/>
      <c r="U2288" s="348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7"/>
        <v>2336.3500000000026</v>
      </c>
      <c r="O2289" t="s">
        <v>282</v>
      </c>
      <c r="R2289" t="s">
        <v>1773</v>
      </c>
      <c r="S2289" s="225"/>
      <c r="T2289" s="63"/>
      <c r="U2289" s="348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7"/>
        <v>2275.3500000000081</v>
      </c>
      <c r="O2290" t="s">
        <v>354</v>
      </c>
      <c r="S2290" s="63"/>
      <c r="T2290" s="63"/>
      <c r="U2290" s="349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57"/>
        <v>2170.3000000000088</v>
      </c>
      <c r="O2291" t="s">
        <v>2478</v>
      </c>
      <c r="R2291" s="21" t="s">
        <v>2479</v>
      </c>
      <c r="S2291" s="278"/>
      <c r="T2291" s="63"/>
      <c r="U2291" s="348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57"/>
        <v>2161.7999999999956</v>
      </c>
      <c r="O2292" t="s">
        <v>1833</v>
      </c>
      <c r="S2292" s="225"/>
      <c r="T2292" s="63"/>
      <c r="U2292" s="348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7"/>
        <v>2094.4000000000051</v>
      </c>
      <c r="O2293" t="s">
        <v>355</v>
      </c>
      <c r="S2293" s="225"/>
      <c r="T2293" s="63"/>
      <c r="U2293" s="348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7"/>
        <v>2071.8999999999951</v>
      </c>
      <c r="O2294" t="s">
        <v>282</v>
      </c>
      <c r="R2294" t="s">
        <v>1773</v>
      </c>
      <c r="S2294" s="278"/>
      <c r="T2294" s="63"/>
      <c r="U2294" s="348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7"/>
        <v>2061.2999999999929</v>
      </c>
      <c r="O2295" t="s">
        <v>978</v>
      </c>
      <c r="S2295" s="278"/>
      <c r="T2295" s="63"/>
      <c r="U2295" s="348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57"/>
        <v>2027.9999999999982</v>
      </c>
      <c r="O2296" t="s">
        <v>323</v>
      </c>
      <c r="S2296" s="278"/>
      <c r="T2296" s="63"/>
      <c r="U2296" s="348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57"/>
        <v>1939.450000000003</v>
      </c>
      <c r="O2297" t="s">
        <v>294</v>
      </c>
      <c r="S2297" s="225"/>
      <c r="T2297" s="63"/>
      <c r="U2297" s="349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7"/>
        <v>1890.9999999999968</v>
      </c>
      <c r="O2298" t="s">
        <v>304</v>
      </c>
      <c r="S2298" s="63"/>
      <c r="T2298" s="63"/>
      <c r="U2298" s="348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279</v>
      </c>
      <c r="F2299" s="9" t="s">
        <v>279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7"/>
        <v>1809.7000000000007</v>
      </c>
      <c r="O2299" t="s">
        <v>310</v>
      </c>
      <c r="S2299" s="278"/>
      <c r="T2299" s="63"/>
      <c r="U2299" s="348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279</v>
      </c>
      <c r="F2300" s="9" t="s">
        <v>279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57"/>
        <v>1802.999999999997</v>
      </c>
      <c r="O2300" t="s">
        <v>340</v>
      </c>
      <c r="S2300" s="63"/>
      <c r="T2300" s="63"/>
      <c r="U2300" s="348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279</v>
      </c>
      <c r="M2301" s="67">
        <f t="shared" si="57"/>
        <v>1512.0000000000002</v>
      </c>
      <c r="S2301" s="278"/>
      <c r="T2301" s="63"/>
      <c r="U2301" s="349"/>
      <c r="V2301" s="63"/>
      <c r="W2301" s="63"/>
    </row>
    <row r="2302" spans="1:23" ht="15">
      <c r="A2302" s="28" t="s">
        <v>26</v>
      </c>
      <c r="B2302" s="63" t="s">
        <v>763</v>
      </c>
      <c r="E2302" s="9" t="s">
        <v>279</v>
      </c>
      <c r="F2302" s="9" t="s">
        <v>279</v>
      </c>
      <c r="G2302" s="9" t="s">
        <v>279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7"/>
        <v>1505</v>
      </c>
      <c r="O2302" t="s">
        <v>282</v>
      </c>
      <c r="R2302" t="s">
        <v>1773</v>
      </c>
      <c r="S2302" s="63"/>
      <c r="T2302" s="63"/>
      <c r="U2302" s="348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7"/>
        <v>1488.5999999999981</v>
      </c>
      <c r="O2303" t="s">
        <v>298</v>
      </c>
      <c r="S2303" s="278"/>
      <c r="T2303" s="63"/>
      <c r="U2303" s="349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279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7"/>
        <v>1477.699999999996</v>
      </c>
      <c r="O2304" t="s">
        <v>289</v>
      </c>
      <c r="S2304" s="63"/>
      <c r="T2304" s="63"/>
      <c r="U2304" s="348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279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7"/>
        <v>1469.9999999999982</v>
      </c>
      <c r="S2305" s="278"/>
      <c r="T2305" s="63"/>
      <c r="U2305" s="348"/>
      <c r="V2305" s="63"/>
      <c r="W2305" s="63"/>
    </row>
    <row r="2306" spans="1:23" ht="15">
      <c r="A2306" s="28" t="s">
        <v>34</v>
      </c>
      <c r="B2306" s="63" t="s">
        <v>783</v>
      </c>
      <c r="E2306" s="9" t="s">
        <v>279</v>
      </c>
      <c r="F2306" s="9" t="s">
        <v>279</v>
      </c>
      <c r="G2306" s="9" t="s">
        <v>279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57"/>
        <v>1469.1999999999971</v>
      </c>
      <c r="O2306" t="s">
        <v>1832</v>
      </c>
      <c r="S2306" s="278"/>
      <c r="T2306" s="63"/>
      <c r="U2306" s="348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279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7"/>
        <v>1461.1000000000008</v>
      </c>
      <c r="S2307" s="278"/>
      <c r="T2307" s="63"/>
      <c r="U2307" s="349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57"/>
        <v>1451.7000000000044</v>
      </c>
      <c r="O2308" t="s">
        <v>285</v>
      </c>
      <c r="S2308" s="225"/>
      <c r="T2308" s="63"/>
      <c r="U2308" s="348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7"/>
        <v>1443.3000000000061</v>
      </c>
      <c r="O2309" t="s">
        <v>288</v>
      </c>
      <c r="S2309" s="63"/>
      <c r="T2309" s="63"/>
      <c r="U2309" s="349"/>
      <c r="V2309" s="63"/>
      <c r="W2309" s="63"/>
    </row>
    <row r="2310" spans="1:23" ht="15">
      <c r="A2310" s="28" t="s">
        <v>146</v>
      </c>
      <c r="B2310" s="63" t="s">
        <v>788</v>
      </c>
      <c r="E2310" s="9" t="s">
        <v>279</v>
      </c>
      <c r="F2310" s="9" t="s">
        <v>279</v>
      </c>
      <c r="G2310" s="9" t="s">
        <v>279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7"/>
        <v>1362.9999999999964</v>
      </c>
      <c r="O2310" t="s">
        <v>301</v>
      </c>
      <c r="S2310" s="278"/>
      <c r="T2310" s="63"/>
      <c r="U2310" s="348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280</v>
      </c>
      <c r="J2311" s="9">
        <v>330.10000000000036</v>
      </c>
      <c r="K2311" s="9">
        <v>273.70000000000164</v>
      </c>
      <c r="M2311" s="67">
        <f t="shared" si="57"/>
        <v>1342.1000000000017</v>
      </c>
      <c r="O2311" t="s">
        <v>294</v>
      </c>
      <c r="S2311" s="63"/>
      <c r="T2311" s="63"/>
      <c r="U2311" s="348"/>
      <c r="V2311" s="63"/>
      <c r="W2311" s="63"/>
    </row>
    <row r="2312" spans="1:23" ht="15">
      <c r="A2312" s="28" t="s">
        <v>151</v>
      </c>
      <c r="B2312" s="63" t="s">
        <v>764</v>
      </c>
      <c r="E2312" s="9" t="s">
        <v>279</v>
      </c>
      <c r="F2312" s="9" t="s">
        <v>279</v>
      </c>
      <c r="G2312" s="9" t="s">
        <v>279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57"/>
        <v>1326.9000000000051</v>
      </c>
      <c r="O2312" t="s">
        <v>298</v>
      </c>
      <c r="S2312" s="278"/>
      <c r="T2312" s="63"/>
      <c r="U2312" s="348"/>
      <c r="V2312" s="63"/>
      <c r="W2312" s="63"/>
    </row>
    <row r="2313" spans="1:23" ht="15">
      <c r="A2313" s="28" t="s">
        <v>157</v>
      </c>
      <c r="B2313" s="63" t="s">
        <v>796</v>
      </c>
      <c r="E2313" s="9" t="s">
        <v>279</v>
      </c>
      <c r="F2313" s="9" t="s">
        <v>279</v>
      </c>
      <c r="G2313" s="9" t="s">
        <v>279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57"/>
        <v>1324.5499999999965</v>
      </c>
      <c r="O2313" t="s">
        <v>329</v>
      </c>
      <c r="S2313" s="63"/>
      <c r="T2313" s="63"/>
      <c r="U2313" s="348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279</v>
      </c>
      <c r="M2314" s="67">
        <f t="shared" si="57"/>
        <v>1314.1000000000035</v>
      </c>
      <c r="O2314" t="s">
        <v>293</v>
      </c>
      <c r="S2314" s="278"/>
      <c r="T2314" s="63"/>
      <c r="U2314" s="348"/>
      <c r="V2314" s="63"/>
      <c r="W2314" s="63"/>
    </row>
    <row r="2315" spans="1:23" ht="15">
      <c r="A2315" s="28" t="s">
        <v>160</v>
      </c>
      <c r="B2315" s="229" t="s">
        <v>1643</v>
      </c>
      <c r="C2315" s="3"/>
      <c r="D2315" s="3"/>
      <c r="E2315" s="9" t="s">
        <v>279</v>
      </c>
      <c r="F2315" s="9" t="s">
        <v>279</v>
      </c>
      <c r="G2315" s="9" t="s">
        <v>279</v>
      </c>
      <c r="H2315" s="9" t="s">
        <v>279</v>
      </c>
      <c r="I2315" s="9">
        <v>167.00000000000182</v>
      </c>
      <c r="J2315" s="214">
        <v>649</v>
      </c>
      <c r="K2315" s="212">
        <v>487.300000000002</v>
      </c>
      <c r="M2315" s="67">
        <f t="shared" si="57"/>
        <v>1303.3000000000038</v>
      </c>
      <c r="O2315" t="s">
        <v>281</v>
      </c>
      <c r="R2315" s="21" t="s">
        <v>1773</v>
      </c>
      <c r="S2315" s="278"/>
      <c r="T2315" s="63"/>
      <c r="U2315" s="348"/>
      <c r="V2315" s="63"/>
      <c r="W2315" s="63"/>
    </row>
    <row r="2316" spans="1:23" ht="15">
      <c r="A2316" s="28" t="s">
        <v>161</v>
      </c>
      <c r="B2316" s="63" t="s">
        <v>771</v>
      </c>
      <c r="E2316" s="9" t="s">
        <v>279</v>
      </c>
      <c r="F2316" s="9" t="s">
        <v>279</v>
      </c>
      <c r="G2316" s="9" t="s">
        <v>279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7"/>
        <v>1287.2000000000016</v>
      </c>
      <c r="O2316" t="s">
        <v>294</v>
      </c>
      <c r="S2316" s="278"/>
      <c r="T2316" s="63"/>
      <c r="U2316" s="348"/>
      <c r="V2316" s="63"/>
      <c r="W2316" s="63"/>
    </row>
    <row r="2317" spans="1:23" ht="15">
      <c r="A2317" s="28" t="s">
        <v>163</v>
      </c>
      <c r="B2317" s="63" t="s">
        <v>738</v>
      </c>
      <c r="E2317" s="9" t="s">
        <v>279</v>
      </c>
      <c r="F2317" s="9" t="s">
        <v>279</v>
      </c>
      <c r="G2317" s="9" t="s">
        <v>279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7"/>
        <v>1243.9999999999982</v>
      </c>
      <c r="S2317" s="63"/>
      <c r="T2317" s="63"/>
      <c r="U2317" s="348"/>
      <c r="V2317" s="63"/>
      <c r="W2317" s="63"/>
    </row>
    <row r="2318" spans="1:23" ht="15">
      <c r="A2318" s="28" t="s">
        <v>275</v>
      </c>
      <c r="B2318" s="63" t="s">
        <v>746</v>
      </c>
      <c r="E2318" s="9" t="s">
        <v>279</v>
      </c>
      <c r="F2318" s="9" t="s">
        <v>279</v>
      </c>
      <c r="G2318" s="9" t="s">
        <v>279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7"/>
        <v>1241.2499999999982</v>
      </c>
      <c r="S2318" s="63"/>
      <c r="T2318" s="63"/>
      <c r="U2318" s="348"/>
      <c r="V2318" s="63"/>
      <c r="W2318" s="63"/>
    </row>
    <row r="2319" spans="1:23" ht="15">
      <c r="A2319" s="28" t="s">
        <v>276</v>
      </c>
      <c r="B2319" s="63" t="s">
        <v>156</v>
      </c>
      <c r="E2319" s="9" t="s">
        <v>279</v>
      </c>
      <c r="F2319" s="9" t="s">
        <v>279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7"/>
        <v>1222.7999999999995</v>
      </c>
      <c r="S2319" s="225"/>
      <c r="T2319" s="63"/>
      <c r="U2319" s="348"/>
      <c r="V2319" s="63"/>
      <c r="W2319" s="63"/>
    </row>
    <row r="2320" spans="1:23" ht="15">
      <c r="A2320" s="28" t="s">
        <v>277</v>
      </c>
      <c r="B2320" s="63" t="s">
        <v>762</v>
      </c>
      <c r="E2320" s="9" t="s">
        <v>279</v>
      </c>
      <c r="F2320" s="9" t="s">
        <v>279</v>
      </c>
      <c r="G2320" s="9" t="s">
        <v>279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58">SUM(E2320:K2320)</f>
        <v>1217.900000000006</v>
      </c>
      <c r="O2320" t="s">
        <v>289</v>
      </c>
      <c r="S2320" s="63"/>
      <c r="T2320" s="63"/>
      <c r="U2320" s="348"/>
      <c r="V2320" s="63"/>
      <c r="W2320" s="63"/>
    </row>
    <row r="2321" spans="1:23" ht="15">
      <c r="A2321" s="28" t="s">
        <v>278</v>
      </c>
      <c r="B2321" s="229" t="s">
        <v>1659</v>
      </c>
      <c r="C2321" s="3"/>
      <c r="D2321" s="3"/>
      <c r="E2321" s="9" t="s">
        <v>279</v>
      </c>
      <c r="F2321" s="9" t="s">
        <v>279</v>
      </c>
      <c r="G2321" s="9" t="s">
        <v>279</v>
      </c>
      <c r="H2321" s="9" t="s">
        <v>279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58"/>
        <v>1217.6000000000022</v>
      </c>
      <c r="O2321" t="s">
        <v>284</v>
      </c>
      <c r="S2321" s="278"/>
      <c r="T2321" s="63"/>
      <c r="U2321" s="348"/>
      <c r="V2321" s="63"/>
      <c r="W2321" s="63"/>
    </row>
    <row r="2322" spans="1:23" ht="15">
      <c r="A2322" s="28" t="s">
        <v>735</v>
      </c>
      <c r="B2322" s="63" t="s">
        <v>153</v>
      </c>
      <c r="E2322" s="9" t="s">
        <v>279</v>
      </c>
      <c r="F2322" s="9" t="s">
        <v>279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8"/>
        <v>1213.1999999999978</v>
      </c>
      <c r="S2322" s="63"/>
      <c r="T2322" s="63"/>
      <c r="U2322" s="348"/>
      <c r="V2322" s="63"/>
      <c r="W2322" s="63"/>
    </row>
    <row r="2323" spans="1:23" ht="15">
      <c r="A2323" s="28" t="s">
        <v>736</v>
      </c>
      <c r="B2323" s="63" t="s">
        <v>790</v>
      </c>
      <c r="E2323" s="9" t="s">
        <v>279</v>
      </c>
      <c r="F2323" s="9" t="s">
        <v>279</v>
      </c>
      <c r="G2323" s="9" t="s">
        <v>279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8"/>
        <v>1199.6000000000013</v>
      </c>
      <c r="S2323" s="28"/>
      <c r="T2323" s="63"/>
      <c r="U2323" s="349"/>
      <c r="V2323" s="63"/>
      <c r="W2323" s="63"/>
    </row>
    <row r="2324" spans="1:23" ht="15">
      <c r="A2324" s="28" t="s">
        <v>737</v>
      </c>
      <c r="B2324" s="63" t="s">
        <v>144</v>
      </c>
      <c r="E2324" s="9" t="s">
        <v>279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8"/>
        <v>1194.7500000000045</v>
      </c>
      <c r="S2324" s="63"/>
      <c r="T2324" s="63"/>
      <c r="U2324" s="348"/>
      <c r="V2324" s="63"/>
      <c r="W2324" s="63"/>
    </row>
    <row r="2325" spans="1:23" ht="15">
      <c r="A2325" s="28" t="s">
        <v>739</v>
      </c>
      <c r="B2325" s="63" t="s">
        <v>779</v>
      </c>
      <c r="E2325" s="9" t="s">
        <v>279</v>
      </c>
      <c r="F2325" s="9" t="s">
        <v>279</v>
      </c>
      <c r="G2325" s="9" t="s">
        <v>279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58"/>
        <v>1170.5</v>
      </c>
      <c r="O2325" t="s">
        <v>336</v>
      </c>
      <c r="S2325" s="278"/>
      <c r="T2325" s="63"/>
      <c r="U2325" s="349"/>
      <c r="V2325" s="63"/>
      <c r="W2325" s="63"/>
    </row>
    <row r="2326" spans="1:23" ht="15">
      <c r="A2326" s="28" t="s">
        <v>745</v>
      </c>
      <c r="B2326" s="63" t="s">
        <v>755</v>
      </c>
      <c r="E2326" s="9" t="s">
        <v>279</v>
      </c>
      <c r="F2326" s="9" t="s">
        <v>279</v>
      </c>
      <c r="G2326" s="9" t="s">
        <v>279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8"/>
        <v>1154.8999999999987</v>
      </c>
      <c r="S2326" s="278"/>
      <c r="T2326" s="63"/>
      <c r="U2326" s="349"/>
      <c r="V2326" s="63"/>
      <c r="W2326" s="63"/>
    </row>
    <row r="2327" spans="1:23" ht="15">
      <c r="A2327" s="28" t="s">
        <v>747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279</v>
      </c>
      <c r="I2327" s="9" t="s">
        <v>279</v>
      </c>
      <c r="J2327" s="9">
        <v>343.300000000002</v>
      </c>
      <c r="K2327" s="9" t="s">
        <v>279</v>
      </c>
      <c r="M2327" s="67">
        <f t="shared" si="58"/>
        <v>1134.300000000002</v>
      </c>
      <c r="O2327" t="s">
        <v>337</v>
      </c>
      <c r="S2327" s="225"/>
      <c r="T2327" s="63"/>
      <c r="U2327" s="349"/>
      <c r="V2327" s="63"/>
      <c r="W2327" s="63"/>
    </row>
    <row r="2328" spans="1:23" ht="15">
      <c r="A2328" s="28" t="s">
        <v>750</v>
      </c>
      <c r="B2328" s="63" t="s">
        <v>778</v>
      </c>
      <c r="E2328" s="9" t="s">
        <v>279</v>
      </c>
      <c r="F2328" s="9" t="s">
        <v>279</v>
      </c>
      <c r="G2328" s="9" t="s">
        <v>279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8"/>
        <v>1117.2000000000025</v>
      </c>
      <c r="S2328" s="63"/>
      <c r="T2328" s="63"/>
      <c r="U2328" s="349"/>
      <c r="V2328" s="63"/>
      <c r="W2328" s="63"/>
    </row>
    <row r="2329" spans="1:23" ht="15">
      <c r="A2329" s="28" t="s">
        <v>751</v>
      </c>
      <c r="B2329" s="63" t="s">
        <v>748</v>
      </c>
      <c r="E2329" s="9" t="s">
        <v>279</v>
      </c>
      <c r="F2329" s="9" t="s">
        <v>279</v>
      </c>
      <c r="G2329" s="9" t="s">
        <v>279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58"/>
        <v>1079.7999999999975</v>
      </c>
      <c r="O2329" t="s">
        <v>289</v>
      </c>
      <c r="S2329" s="63"/>
      <c r="T2329" s="63"/>
      <c r="U2329" s="348"/>
      <c r="V2329" s="63"/>
      <c r="W2329" s="63"/>
    </row>
    <row r="2330" spans="1:23" ht="15">
      <c r="A2330" s="28" t="s">
        <v>754</v>
      </c>
      <c r="B2330" s="63" t="s">
        <v>757</v>
      </c>
      <c r="E2330" s="9" t="s">
        <v>279</v>
      </c>
      <c r="F2330" s="9" t="s">
        <v>279</v>
      </c>
      <c r="G2330" s="9" t="s">
        <v>279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58"/>
        <v>1074.6499999999951</v>
      </c>
      <c r="O2330" t="s">
        <v>289</v>
      </c>
      <c r="S2330" s="278"/>
      <c r="T2330" s="63"/>
      <c r="U2330" s="348"/>
      <c r="V2330" s="63"/>
      <c r="W2330" s="63"/>
    </row>
    <row r="2331" spans="1:23" ht="15">
      <c r="A2331" s="28" t="s">
        <v>756</v>
      </c>
      <c r="B2331" s="63" t="s">
        <v>749</v>
      </c>
      <c r="E2331" s="9" t="s">
        <v>279</v>
      </c>
      <c r="F2331" s="9" t="s">
        <v>279</v>
      </c>
      <c r="G2331" s="9" t="s">
        <v>279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58"/>
        <v>1070.4000000000015</v>
      </c>
      <c r="O2331" t="s">
        <v>284</v>
      </c>
      <c r="S2331" s="278"/>
      <c r="T2331" s="63"/>
      <c r="U2331" s="349"/>
      <c r="V2331" s="63"/>
      <c r="W2331" s="63"/>
    </row>
    <row r="2332" spans="1:23" ht="15">
      <c r="A2332" s="28" t="s">
        <v>761</v>
      </c>
      <c r="B2332" s="229" t="s">
        <v>1661</v>
      </c>
      <c r="C2332" s="3"/>
      <c r="D2332" s="3"/>
      <c r="E2332" s="9" t="s">
        <v>279</v>
      </c>
      <c r="F2332" s="9" t="s">
        <v>279</v>
      </c>
      <c r="G2332" s="9" t="s">
        <v>279</v>
      </c>
      <c r="H2332" s="9" t="s">
        <v>279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58"/>
        <v>1049.7000000000007</v>
      </c>
      <c r="O2332" t="s">
        <v>357</v>
      </c>
      <c r="S2332" s="225"/>
      <c r="T2332" s="63"/>
      <c r="U2332" s="348"/>
      <c r="V2332" s="63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8"/>
        <v>1035.0499999999956</v>
      </c>
      <c r="S2333" s="225"/>
      <c r="T2333" s="63"/>
      <c r="U2333" s="348"/>
      <c r="V2333" s="63"/>
      <c r="W2333" s="63"/>
    </row>
    <row r="2334" spans="1:23" ht="15">
      <c r="A2334" s="28" t="s">
        <v>766</v>
      </c>
      <c r="B2334" s="229" t="s">
        <v>1655</v>
      </c>
      <c r="C2334" s="3"/>
      <c r="D2334" s="3"/>
      <c r="E2334" s="9" t="s">
        <v>279</v>
      </c>
      <c r="F2334" s="9" t="s">
        <v>279</v>
      </c>
      <c r="G2334" s="9" t="s">
        <v>279</v>
      </c>
      <c r="H2334" s="9" t="s">
        <v>279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8"/>
        <v>1002.5499999999975</v>
      </c>
      <c r="S2334" s="225"/>
      <c r="T2334" s="63"/>
      <c r="U2334" s="348"/>
      <c r="V2334" s="63"/>
      <c r="W2334" s="63"/>
    </row>
    <row r="2335" spans="1:23" ht="15">
      <c r="A2335" s="28" t="s">
        <v>767</v>
      </c>
      <c r="B2335" s="63" t="s">
        <v>753</v>
      </c>
      <c r="E2335" s="9" t="s">
        <v>279</v>
      </c>
      <c r="F2335" s="9" t="s">
        <v>279</v>
      </c>
      <c r="G2335" s="9" t="s">
        <v>279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8"/>
        <v>1000.1000000000013</v>
      </c>
      <c r="S2335" s="278"/>
      <c r="T2335" s="63"/>
      <c r="U2335" s="349"/>
      <c r="V2335" s="63"/>
      <c r="W2335" s="63"/>
    </row>
    <row r="2336" spans="1:23" ht="15">
      <c r="A2336" s="28" t="s">
        <v>773</v>
      </c>
      <c r="B2336" s="229" t="s">
        <v>1647</v>
      </c>
      <c r="C2336" s="3"/>
      <c r="D2336" s="3"/>
      <c r="E2336" s="9" t="s">
        <v>279</v>
      </c>
      <c r="F2336" s="9" t="s">
        <v>279</v>
      </c>
      <c r="G2336" s="9" t="s">
        <v>279</v>
      </c>
      <c r="H2336" s="9" t="s">
        <v>279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58"/>
        <v>998.30000000000291</v>
      </c>
      <c r="O2336" t="s">
        <v>283</v>
      </c>
      <c r="S2336" s="63"/>
      <c r="T2336" s="63"/>
      <c r="U2336" s="348"/>
      <c r="V2336" s="63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M2337" s="67">
        <f t="shared" si="58"/>
        <v>995.24999999999454</v>
      </c>
      <c r="O2337" t="s">
        <v>283</v>
      </c>
      <c r="S2337" s="278"/>
      <c r="T2337" s="63"/>
      <c r="U2337" s="348"/>
      <c r="V2337" s="63"/>
      <c r="W2337" s="63"/>
    </row>
    <row r="2338" spans="1:23" ht="15">
      <c r="A2338" s="28" t="s">
        <v>785</v>
      </c>
      <c r="B2338" s="63" t="s">
        <v>800</v>
      </c>
      <c r="E2338" s="9" t="s">
        <v>279</v>
      </c>
      <c r="F2338" s="9" t="s">
        <v>279</v>
      </c>
      <c r="G2338" s="9" t="s">
        <v>279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8"/>
        <v>978.39999999999509</v>
      </c>
      <c r="S2338" s="63"/>
      <c r="T2338" s="63"/>
      <c r="U2338" s="349"/>
      <c r="V2338" s="63"/>
      <c r="W2338" s="63"/>
    </row>
    <row r="2339" spans="1:23" ht="15">
      <c r="A2339" s="28" t="s">
        <v>786</v>
      </c>
      <c r="B2339" s="28" t="s">
        <v>734</v>
      </c>
      <c r="E2339" s="9" t="s">
        <v>279</v>
      </c>
      <c r="F2339" s="9" t="s">
        <v>279</v>
      </c>
      <c r="G2339" s="9" t="s">
        <v>279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58"/>
        <v>974.20000000000437</v>
      </c>
      <c r="O2339" t="s">
        <v>301</v>
      </c>
      <c r="S2339" s="63"/>
      <c r="T2339" s="63"/>
      <c r="U2339" s="348"/>
      <c r="V2339" s="63"/>
      <c r="W2339" s="63"/>
    </row>
    <row r="2340" spans="1:23" ht="15">
      <c r="A2340" s="28" t="s">
        <v>787</v>
      </c>
      <c r="B2340" s="28" t="s">
        <v>733</v>
      </c>
      <c r="E2340" s="9" t="s">
        <v>279</v>
      </c>
      <c r="F2340" s="9" t="s">
        <v>279</v>
      </c>
      <c r="G2340" s="9" t="s">
        <v>279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8"/>
        <v>957.09999999999673</v>
      </c>
      <c r="S2340" s="63"/>
      <c r="T2340" s="63"/>
      <c r="U2340" s="348"/>
      <c r="V2340" s="63"/>
      <c r="W2340" s="63"/>
    </row>
    <row r="2341" spans="1:23" ht="15">
      <c r="A2341" s="28" t="s">
        <v>793</v>
      </c>
      <c r="B2341" s="278" t="s">
        <v>2014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 t="s">
        <v>279</v>
      </c>
      <c r="J2341" s="9">
        <v>559.70000000000255</v>
      </c>
      <c r="K2341" s="217">
        <v>391.79999999999654</v>
      </c>
      <c r="M2341" s="67">
        <f t="shared" si="58"/>
        <v>951.49999999999909</v>
      </c>
      <c r="O2341" t="s">
        <v>293</v>
      </c>
      <c r="S2341" s="28"/>
      <c r="T2341" s="63"/>
      <c r="U2341" s="348"/>
      <c r="V2341" s="63"/>
      <c r="W2341" s="63"/>
    </row>
    <row r="2342" spans="1:23" ht="15">
      <c r="A2342" s="28" t="s">
        <v>794</v>
      </c>
      <c r="B2342" s="229" t="s">
        <v>1657</v>
      </c>
      <c r="C2342" s="3"/>
      <c r="D2342" s="3"/>
      <c r="E2342" s="9" t="s">
        <v>279</v>
      </c>
      <c r="F2342" s="9" t="s">
        <v>279</v>
      </c>
      <c r="G2342" s="9" t="s">
        <v>279</v>
      </c>
      <c r="H2342" s="9" t="s">
        <v>279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58"/>
        <v>950.5</v>
      </c>
      <c r="O2342" t="s">
        <v>294</v>
      </c>
      <c r="S2342" s="63"/>
      <c r="T2342" s="63"/>
      <c r="U2342" s="348"/>
      <c r="V2342" s="63"/>
      <c r="W2342" s="63"/>
    </row>
    <row r="2343" spans="1:23" ht="15">
      <c r="A2343" s="28" t="s">
        <v>795</v>
      </c>
      <c r="B2343" s="278" t="s">
        <v>2011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 t="s">
        <v>279</v>
      </c>
      <c r="J2343" s="9">
        <v>375.49999999999818</v>
      </c>
      <c r="K2343" s="214">
        <v>518.59999999999673</v>
      </c>
      <c r="M2343" s="67">
        <f t="shared" si="58"/>
        <v>894.09999999999491</v>
      </c>
      <c r="O2343" t="s">
        <v>282</v>
      </c>
      <c r="R2343" s="21" t="s">
        <v>1773</v>
      </c>
      <c r="S2343" s="225"/>
      <c r="T2343" s="63"/>
      <c r="U2343" s="348"/>
      <c r="V2343" s="63"/>
      <c r="W2343" s="63"/>
    </row>
    <row r="2344" spans="1:23" ht="15">
      <c r="A2344" s="28" t="s">
        <v>797</v>
      </c>
      <c r="B2344" s="63" t="s">
        <v>782</v>
      </c>
      <c r="E2344" s="9" t="s">
        <v>279</v>
      </c>
      <c r="F2344" s="9" t="s">
        <v>279</v>
      </c>
      <c r="G2344" s="9" t="s">
        <v>279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8"/>
        <v>879.55000000000473</v>
      </c>
      <c r="S2344" s="63"/>
      <c r="T2344" s="63"/>
      <c r="U2344" s="348"/>
      <c r="V2344" s="63"/>
      <c r="W2344" s="63"/>
    </row>
    <row r="2345" spans="1:23" ht="15">
      <c r="A2345" s="28" t="s">
        <v>798</v>
      </c>
      <c r="B2345" s="63" t="s">
        <v>4</v>
      </c>
      <c r="E2345" s="64" t="s">
        <v>280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279</v>
      </c>
      <c r="K2345" s="9" t="s">
        <v>279</v>
      </c>
      <c r="L2345" s="69"/>
      <c r="M2345" s="67">
        <f t="shared" si="58"/>
        <v>877.2000000000013</v>
      </c>
      <c r="S2345" s="278"/>
      <c r="T2345" s="63"/>
      <c r="U2345" s="349"/>
      <c r="V2345" s="63"/>
      <c r="W2345" s="63"/>
    </row>
    <row r="2346" spans="1:23" ht="15">
      <c r="A2346" s="28" t="s">
        <v>799</v>
      </c>
      <c r="B2346" s="225" t="s">
        <v>1662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8"/>
        <v>844</v>
      </c>
      <c r="S2346" s="63"/>
      <c r="T2346" s="63"/>
      <c r="U2346" s="348"/>
      <c r="V2346" s="63"/>
      <c r="W2346" s="63"/>
    </row>
    <row r="2347" spans="1:23" ht="15">
      <c r="A2347" s="28" t="s">
        <v>802</v>
      </c>
      <c r="B2347" s="229" t="s">
        <v>1644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8"/>
        <v>812.19999999999709</v>
      </c>
      <c r="S2347" s="63"/>
      <c r="T2347" s="63"/>
      <c r="U2347" s="349"/>
      <c r="V2347" s="63"/>
      <c r="W2347" s="63"/>
    </row>
    <row r="2348" spans="1:23" ht="15">
      <c r="A2348" s="28" t="s">
        <v>896</v>
      </c>
      <c r="B2348" s="28" t="s">
        <v>728</v>
      </c>
      <c r="E2348" s="9" t="s">
        <v>279</v>
      </c>
      <c r="F2348" s="9" t="s">
        <v>279</v>
      </c>
      <c r="G2348" s="9" t="s">
        <v>279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8"/>
        <v>770.60000000000036</v>
      </c>
      <c r="S2348" s="278"/>
      <c r="T2348" s="63"/>
      <c r="U2348" s="349"/>
      <c r="V2348" s="63"/>
      <c r="W2348" s="63"/>
    </row>
    <row r="2349" spans="1:23" ht="15">
      <c r="A2349" s="28" t="s">
        <v>897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279</v>
      </c>
      <c r="K2349" s="9" t="s">
        <v>279</v>
      </c>
      <c r="L2349" s="69"/>
      <c r="M2349" s="67">
        <f t="shared" si="58"/>
        <v>760.60000000000014</v>
      </c>
      <c r="S2349" s="278"/>
      <c r="T2349" s="63"/>
      <c r="U2349" s="348"/>
      <c r="V2349" s="63"/>
      <c r="W2349" s="63"/>
    </row>
    <row r="2350" spans="1:23" ht="15">
      <c r="A2350" s="28" t="s">
        <v>898</v>
      </c>
      <c r="B2350" s="278" t="s">
        <v>2022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>
        <v>524.10000000000036</v>
      </c>
      <c r="K2350" s="9">
        <v>224.89999999999964</v>
      </c>
      <c r="M2350" s="67">
        <f t="shared" si="58"/>
        <v>749</v>
      </c>
      <c r="S2350" s="63"/>
      <c r="T2350" s="63"/>
      <c r="U2350" s="349"/>
      <c r="V2350" s="63"/>
      <c r="W2350" s="63"/>
    </row>
    <row r="2351" spans="1:23" ht="15">
      <c r="A2351" s="28" t="s">
        <v>899</v>
      </c>
      <c r="B2351" s="63" t="s">
        <v>769</v>
      </c>
      <c r="E2351" s="9" t="s">
        <v>279</v>
      </c>
      <c r="F2351" s="9" t="s">
        <v>279</v>
      </c>
      <c r="G2351" s="9" t="s">
        <v>279</v>
      </c>
      <c r="H2351" s="213">
        <v>459.50000000000182</v>
      </c>
      <c r="I2351" s="9">
        <v>250.49999999999818</v>
      </c>
      <c r="J2351" s="9" t="s">
        <v>279</v>
      </c>
      <c r="K2351" s="9" t="s">
        <v>279</v>
      </c>
      <c r="L2351" s="69"/>
      <c r="M2351" s="67">
        <f t="shared" si="58"/>
        <v>710</v>
      </c>
      <c r="O2351" t="s">
        <v>283</v>
      </c>
      <c r="S2351" s="278"/>
      <c r="T2351" s="63"/>
      <c r="U2351" s="349"/>
      <c r="V2351" s="63"/>
      <c r="W2351" s="63"/>
    </row>
    <row r="2352" spans="1:23" ht="15">
      <c r="A2352" s="28" t="s">
        <v>900</v>
      </c>
      <c r="B2352" s="63" t="s">
        <v>158</v>
      </c>
      <c r="E2352" s="9" t="s">
        <v>279</v>
      </c>
      <c r="F2352" s="9" t="s">
        <v>279</v>
      </c>
      <c r="G2352" s="217">
        <v>386.4</v>
      </c>
      <c r="H2352" s="9">
        <v>136.5</v>
      </c>
      <c r="I2352" s="9">
        <v>181.5</v>
      </c>
      <c r="J2352" s="9" t="s">
        <v>279</v>
      </c>
      <c r="K2352" s="9" t="s">
        <v>279</v>
      </c>
      <c r="L2352" s="69"/>
      <c r="M2352" s="67">
        <f t="shared" ref="M2352:M2388" si="59">SUM(E2352:K2352)</f>
        <v>704.4</v>
      </c>
      <c r="O2352" t="s">
        <v>298</v>
      </c>
      <c r="S2352" s="278"/>
      <c r="T2352" s="63"/>
      <c r="U2352" s="348"/>
      <c r="V2352" s="63"/>
      <c r="W2352" s="63"/>
    </row>
    <row r="2353" spans="1:23" ht="15">
      <c r="A2353" s="28" t="s">
        <v>901</v>
      </c>
      <c r="B2353" s="229" t="s">
        <v>1645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9">
        <v>245.79999999999745</v>
      </c>
      <c r="J2353" s="9">
        <v>435.80000000000291</v>
      </c>
      <c r="K2353" s="9" t="s">
        <v>279</v>
      </c>
      <c r="M2353" s="67">
        <f t="shared" si="59"/>
        <v>681.60000000000036</v>
      </c>
      <c r="S2353" s="278"/>
      <c r="T2353" s="63"/>
      <c r="U2353" s="348"/>
      <c r="V2353" s="63"/>
      <c r="W2353" s="63"/>
    </row>
    <row r="2354" spans="1:23" ht="15">
      <c r="A2354" s="28" t="s">
        <v>902</v>
      </c>
      <c r="B2354" s="229" t="s">
        <v>1652</v>
      </c>
      <c r="C2354" s="3"/>
      <c r="D2354" s="3"/>
      <c r="E2354" s="9" t="s">
        <v>279</v>
      </c>
      <c r="F2354" s="9" t="s">
        <v>279</v>
      </c>
      <c r="G2354" s="9" t="s">
        <v>279</v>
      </c>
      <c r="H2354" s="9" t="s">
        <v>279</v>
      </c>
      <c r="I2354" s="64" t="s">
        <v>280</v>
      </c>
      <c r="J2354" s="9">
        <v>511.60000000000127</v>
      </c>
      <c r="K2354" s="9">
        <v>162.29999999999745</v>
      </c>
      <c r="M2354" s="67">
        <f t="shared" si="59"/>
        <v>673.89999999999873</v>
      </c>
      <c r="S2354" s="63"/>
      <c r="T2354" s="63"/>
      <c r="U2354" s="348"/>
      <c r="V2354" s="63"/>
      <c r="W2354" s="63"/>
    </row>
    <row r="2355" spans="1:23" ht="15">
      <c r="A2355" s="28" t="s">
        <v>903</v>
      </c>
      <c r="B2355" s="278" t="s">
        <v>2015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453.29999999999927</v>
      </c>
      <c r="K2355" s="9">
        <v>200.89999999999964</v>
      </c>
      <c r="M2355" s="67">
        <f t="shared" si="59"/>
        <v>654.19999999999891</v>
      </c>
      <c r="S2355" s="63"/>
      <c r="T2355" s="63"/>
      <c r="U2355" s="348"/>
      <c r="V2355" s="63"/>
      <c r="W2355" s="63"/>
    </row>
    <row r="2356" spans="1:23" ht="15">
      <c r="A2356" s="28" t="s">
        <v>904</v>
      </c>
      <c r="B2356" s="278" t="s">
        <v>2006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M2356" s="67">
        <f t="shared" si="59"/>
        <v>649.80000000000109</v>
      </c>
      <c r="S2356" s="63"/>
      <c r="T2356" s="63"/>
      <c r="U2356" s="349"/>
      <c r="V2356" s="63"/>
      <c r="W2356" s="63"/>
    </row>
    <row r="2357" spans="1:23" ht="15">
      <c r="A2357" s="28" t="s">
        <v>905</v>
      </c>
      <c r="B2357" s="278" t="s">
        <v>2010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9" t="s">
        <v>279</v>
      </c>
      <c r="J2357" s="9">
        <v>446.19999999999709</v>
      </c>
      <c r="K2357" s="9">
        <v>198.79999999999927</v>
      </c>
      <c r="M2357" s="67">
        <f t="shared" si="59"/>
        <v>644.99999999999636</v>
      </c>
      <c r="S2357" s="278"/>
      <c r="T2357" s="63"/>
      <c r="U2357" s="348"/>
      <c r="V2357" s="63"/>
      <c r="W2357" s="63"/>
    </row>
    <row r="2358" spans="1:23" ht="15">
      <c r="A2358" s="28" t="s">
        <v>906</v>
      </c>
      <c r="B2358" s="278" t="s">
        <v>2007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 t="s">
        <v>279</v>
      </c>
      <c r="J2358" s="9">
        <v>302.59999999999945</v>
      </c>
      <c r="K2358" s="9">
        <v>336.5</v>
      </c>
      <c r="M2358" s="67">
        <f t="shared" si="59"/>
        <v>639.09999999999945</v>
      </c>
      <c r="S2358" s="278"/>
      <c r="T2358" s="63"/>
      <c r="U2358" s="348"/>
      <c r="V2358" s="63"/>
      <c r="W2358" s="63"/>
    </row>
    <row r="2359" spans="1:23" ht="15">
      <c r="A2359" s="28" t="s">
        <v>907</v>
      </c>
      <c r="B2359" s="63" t="s">
        <v>178</v>
      </c>
      <c r="E2359" s="213">
        <v>438</v>
      </c>
      <c r="F2359" s="9">
        <v>181.9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9" t="s">
        <v>279</v>
      </c>
      <c r="L2359" s="69"/>
      <c r="M2359" s="67">
        <f t="shared" si="59"/>
        <v>619.9</v>
      </c>
      <c r="O2359" t="s">
        <v>283</v>
      </c>
      <c r="S2359" s="28"/>
      <c r="T2359" s="63"/>
      <c r="U2359" s="348"/>
      <c r="V2359" s="63"/>
      <c r="W2359" s="63"/>
    </row>
    <row r="2360" spans="1:23" ht="15">
      <c r="A2360" s="28" t="s">
        <v>908</v>
      </c>
      <c r="B2360" s="278" t="s">
        <v>2012</v>
      </c>
      <c r="C2360" s="3"/>
      <c r="D2360" s="3"/>
      <c r="E2360" s="9" t="s">
        <v>279</v>
      </c>
      <c r="F2360" s="9" t="s">
        <v>279</v>
      </c>
      <c r="G2360" s="9" t="s">
        <v>279</v>
      </c>
      <c r="H2360" s="9" t="s">
        <v>279</v>
      </c>
      <c r="I2360" s="9" t="s">
        <v>279</v>
      </c>
      <c r="J2360" s="9">
        <v>381.39999999999964</v>
      </c>
      <c r="K2360" s="9">
        <v>237.75000000000091</v>
      </c>
      <c r="M2360" s="67">
        <f t="shared" si="59"/>
        <v>619.15000000000055</v>
      </c>
      <c r="S2360" s="225"/>
      <c r="T2360" s="63"/>
      <c r="U2360" s="348"/>
      <c r="V2360" s="63"/>
      <c r="W2360" s="63"/>
    </row>
    <row r="2361" spans="1:23" ht="15">
      <c r="A2361" s="28" t="s">
        <v>909</v>
      </c>
      <c r="B2361" s="229" t="s">
        <v>1653</v>
      </c>
      <c r="C2361" s="3"/>
      <c r="D2361" s="3"/>
      <c r="E2361" s="9" t="s">
        <v>279</v>
      </c>
      <c r="F2361" s="9" t="s">
        <v>279</v>
      </c>
      <c r="G2361" s="9" t="s">
        <v>279</v>
      </c>
      <c r="H2361" s="9" t="s">
        <v>279</v>
      </c>
      <c r="I2361" s="64" t="s">
        <v>280</v>
      </c>
      <c r="J2361" s="9">
        <v>483.60000000000036</v>
      </c>
      <c r="K2361" s="9">
        <v>134.39999999999782</v>
      </c>
      <c r="M2361" s="67">
        <f t="shared" si="59"/>
        <v>617.99999999999818</v>
      </c>
      <c r="S2361" s="278"/>
      <c r="T2361" s="63"/>
      <c r="U2361" s="348"/>
      <c r="V2361" s="63"/>
      <c r="W2361" s="63"/>
    </row>
    <row r="2362" spans="1:23" ht="15">
      <c r="A2362" s="28" t="s">
        <v>910</v>
      </c>
      <c r="B2362" s="278" t="s">
        <v>2013</v>
      </c>
      <c r="C2362" s="3"/>
      <c r="D2362" s="3"/>
      <c r="E2362" s="9" t="s">
        <v>279</v>
      </c>
      <c r="F2362" s="9" t="s">
        <v>279</v>
      </c>
      <c r="G2362" s="9" t="s">
        <v>279</v>
      </c>
      <c r="H2362" s="9" t="s">
        <v>279</v>
      </c>
      <c r="I2362" s="9" t="s">
        <v>279</v>
      </c>
      <c r="J2362" s="9">
        <v>459.00000000000091</v>
      </c>
      <c r="K2362" s="9">
        <v>152.79999999999836</v>
      </c>
      <c r="M2362" s="67">
        <f t="shared" si="59"/>
        <v>611.79999999999927</v>
      </c>
      <c r="S2362" s="278"/>
      <c r="T2362" s="63"/>
      <c r="U2362" s="348"/>
      <c r="V2362" s="63"/>
      <c r="W2362" s="63"/>
    </row>
    <row r="2363" spans="1:23" ht="15">
      <c r="A2363" s="28" t="s">
        <v>911</v>
      </c>
      <c r="B2363" s="229" t="s">
        <v>1654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9"/>
        <v>469.39999999999418</v>
      </c>
      <c r="S2363" s="28"/>
      <c r="T2363" s="63"/>
      <c r="U2363" s="348"/>
      <c r="V2363" s="63"/>
      <c r="W2363" s="63"/>
    </row>
    <row r="2364" spans="1:23" ht="15">
      <c r="A2364" s="28" t="s">
        <v>912</v>
      </c>
      <c r="B2364" s="278" t="s">
        <v>2008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>
        <v>401.5</v>
      </c>
      <c r="K2364" s="9" t="s">
        <v>279</v>
      </c>
      <c r="M2364" s="67">
        <f t="shared" si="59"/>
        <v>401.5</v>
      </c>
      <c r="S2364" s="225"/>
      <c r="T2364" s="63"/>
      <c r="U2364" s="348"/>
      <c r="V2364" s="63"/>
      <c r="W2364" s="63"/>
    </row>
    <row r="2365" spans="1:23" ht="15">
      <c r="A2365" s="28" t="s">
        <v>913</v>
      </c>
      <c r="B2365" s="278" t="s">
        <v>2030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217">
        <v>399.69999999999982</v>
      </c>
      <c r="M2365" s="67">
        <f t="shared" si="59"/>
        <v>399.69999999999982</v>
      </c>
      <c r="O2365" t="s">
        <v>285</v>
      </c>
      <c r="S2365" s="63"/>
      <c r="T2365" s="63"/>
      <c r="U2365" s="348"/>
      <c r="V2365" s="63"/>
      <c r="W2365" s="63"/>
    </row>
    <row r="2366" spans="1:23" ht="15">
      <c r="A2366" s="28" t="s">
        <v>914</v>
      </c>
      <c r="B2366" s="278" t="s">
        <v>2057</v>
      </c>
      <c r="C2366" s="3"/>
      <c r="D2366" s="3"/>
      <c r="E2366" s="9" t="s">
        <v>279</v>
      </c>
      <c r="F2366" s="9" t="s">
        <v>279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217">
        <v>362.10000000000036</v>
      </c>
      <c r="M2366" s="67">
        <f t="shared" si="59"/>
        <v>362.10000000000036</v>
      </c>
      <c r="O2366" t="s">
        <v>288</v>
      </c>
      <c r="S2366" s="63"/>
      <c r="T2366" s="63"/>
      <c r="U2366" s="348"/>
      <c r="V2366" s="63"/>
      <c r="W2366" s="63"/>
    </row>
    <row r="2367" spans="1:23" ht="15">
      <c r="A2367" s="28" t="s">
        <v>915</v>
      </c>
      <c r="B2367" s="229" t="s">
        <v>1650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217">
        <v>337.79999999999745</v>
      </c>
      <c r="J2367" s="9" t="s">
        <v>279</v>
      </c>
      <c r="K2367" s="9" t="s">
        <v>279</v>
      </c>
      <c r="L2367" s="69"/>
      <c r="M2367" s="67">
        <f t="shared" si="59"/>
        <v>337.79999999999745</v>
      </c>
      <c r="O2367" t="s">
        <v>284</v>
      </c>
      <c r="S2367" s="278"/>
      <c r="T2367" s="63"/>
      <c r="U2367" s="348"/>
      <c r="V2367" s="63"/>
      <c r="W2367" s="63"/>
    </row>
    <row r="2368" spans="1:23" ht="15">
      <c r="A2368" s="28" t="s">
        <v>916</v>
      </c>
      <c r="B2368" s="278" t="s">
        <v>2056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334.59999999999854</v>
      </c>
      <c r="M2368" s="67">
        <f t="shared" si="59"/>
        <v>334.59999999999854</v>
      </c>
    </row>
    <row r="2369" spans="1:19" ht="15">
      <c r="A2369" s="28" t="s">
        <v>917</v>
      </c>
      <c r="B2369" s="278" t="s">
        <v>2033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323.29999999999836</v>
      </c>
      <c r="M2369" s="67">
        <f t="shared" si="59"/>
        <v>323.29999999999836</v>
      </c>
    </row>
    <row r="2370" spans="1:19" ht="15">
      <c r="A2370" s="28" t="s">
        <v>918</v>
      </c>
      <c r="B2370" s="63" t="s">
        <v>164</v>
      </c>
      <c r="E2370" s="9" t="s">
        <v>279</v>
      </c>
      <c r="F2370" s="9" t="s">
        <v>279</v>
      </c>
      <c r="G2370" s="217">
        <v>321.85000000000002</v>
      </c>
      <c r="H2370" s="9" t="s">
        <v>279</v>
      </c>
      <c r="I2370" s="9" t="s">
        <v>279</v>
      </c>
      <c r="J2370" s="9" t="s">
        <v>279</v>
      </c>
      <c r="K2370" s="9" t="s">
        <v>279</v>
      </c>
      <c r="L2370" s="69"/>
      <c r="M2370" s="67">
        <f t="shared" si="59"/>
        <v>321.85000000000002</v>
      </c>
      <c r="O2370" t="s">
        <v>289</v>
      </c>
    </row>
    <row r="2371" spans="1:19" ht="15">
      <c r="A2371" s="28" t="s">
        <v>919</v>
      </c>
      <c r="B2371" s="278" t="s">
        <v>2032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315.54999999999927</v>
      </c>
      <c r="M2371" s="67">
        <f t="shared" si="59"/>
        <v>315.54999999999927</v>
      </c>
      <c r="S2371" s="60"/>
    </row>
    <row r="2372" spans="1:19" ht="15">
      <c r="A2372" s="28" t="s">
        <v>920</v>
      </c>
      <c r="B2372" s="278" t="s">
        <v>4520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>
        <v>300.05000000000018</v>
      </c>
      <c r="M2372" s="67">
        <f t="shared" si="59"/>
        <v>300.05000000000018</v>
      </c>
    </row>
    <row r="2373" spans="1:19" ht="15">
      <c r="A2373" s="28" t="s">
        <v>921</v>
      </c>
      <c r="B2373" s="63" t="s">
        <v>744</v>
      </c>
      <c r="E2373" s="9" t="s">
        <v>279</v>
      </c>
      <c r="F2373" s="9" t="s">
        <v>279</v>
      </c>
      <c r="G2373" s="9" t="s">
        <v>279</v>
      </c>
      <c r="H2373" s="9">
        <v>121.00000000000182</v>
      </c>
      <c r="I2373" s="9">
        <v>176.69999999999709</v>
      </c>
      <c r="J2373" s="9" t="s">
        <v>279</v>
      </c>
      <c r="K2373" s="9" t="s">
        <v>279</v>
      </c>
      <c r="L2373" s="69"/>
      <c r="M2373" s="67">
        <f t="shared" si="59"/>
        <v>297.69999999999891</v>
      </c>
      <c r="S2373" s="60"/>
    </row>
    <row r="2374" spans="1:19" ht="15">
      <c r="A2374" s="28" t="s">
        <v>922</v>
      </c>
      <c r="B2374" s="278" t="s">
        <v>2029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296.29999999999927</v>
      </c>
      <c r="M2374" s="67">
        <f t="shared" si="59"/>
        <v>296.29999999999927</v>
      </c>
      <c r="S2374" s="60"/>
    </row>
    <row r="2375" spans="1:19" ht="15">
      <c r="A2375" s="28" t="s">
        <v>923</v>
      </c>
      <c r="B2375" s="278" t="s">
        <v>2054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>
        <v>288.50000000000091</v>
      </c>
      <c r="M2375" s="67">
        <f t="shared" si="59"/>
        <v>288.50000000000091</v>
      </c>
      <c r="S2375" s="3"/>
    </row>
    <row r="2376" spans="1:19" ht="15">
      <c r="A2376" s="28" t="s">
        <v>924</v>
      </c>
      <c r="B2376" s="278" t="s">
        <v>2027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264.40000000000146</v>
      </c>
      <c r="M2376" s="67">
        <f t="shared" si="59"/>
        <v>264.40000000000146</v>
      </c>
    </row>
    <row r="2377" spans="1:19" ht="15">
      <c r="A2377" s="28" t="s">
        <v>925</v>
      </c>
      <c r="B2377" s="63" t="s">
        <v>179</v>
      </c>
      <c r="E2377" s="9">
        <v>246.6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 t="s">
        <v>279</v>
      </c>
      <c r="L2377" s="69"/>
      <c r="M2377" s="67">
        <f t="shared" si="59"/>
        <v>246.6</v>
      </c>
      <c r="S2377" s="3"/>
    </row>
    <row r="2378" spans="1:19" ht="15">
      <c r="A2378" s="28" t="s">
        <v>926</v>
      </c>
      <c r="B2378" s="63" t="s">
        <v>784</v>
      </c>
      <c r="E2378" s="9" t="s">
        <v>279</v>
      </c>
      <c r="F2378" s="9" t="s">
        <v>279</v>
      </c>
      <c r="G2378" s="9" t="s">
        <v>279</v>
      </c>
      <c r="H2378" s="9">
        <v>235.19999999999891</v>
      </c>
      <c r="I2378" s="9" t="s">
        <v>279</v>
      </c>
      <c r="J2378" s="9" t="s">
        <v>279</v>
      </c>
      <c r="K2378" s="9" t="s">
        <v>279</v>
      </c>
      <c r="L2378" s="69"/>
      <c r="M2378" s="67">
        <f t="shared" si="59"/>
        <v>235.19999999999891</v>
      </c>
      <c r="S2378" s="82"/>
    </row>
    <row r="2379" spans="1:19" ht="15">
      <c r="A2379" s="28" t="s">
        <v>927</v>
      </c>
      <c r="B2379" s="278" t="s">
        <v>2161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 t="s">
        <v>279</v>
      </c>
      <c r="K2379" s="9">
        <v>225.99999999999909</v>
      </c>
      <c r="M2379" s="67">
        <f t="shared" si="59"/>
        <v>225.99999999999909</v>
      </c>
      <c r="S2379" s="3"/>
    </row>
    <row r="2380" spans="1:19" ht="15">
      <c r="A2380" s="28" t="s">
        <v>928</v>
      </c>
      <c r="B2380" s="225" t="s">
        <v>1641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>
        <v>217.10000000000218</v>
      </c>
      <c r="J2380" s="9" t="s">
        <v>279</v>
      </c>
      <c r="K2380" s="9" t="s">
        <v>279</v>
      </c>
      <c r="L2380" s="69"/>
      <c r="M2380" s="67">
        <f t="shared" si="59"/>
        <v>217.10000000000218</v>
      </c>
      <c r="S2380" s="3"/>
    </row>
    <row r="2381" spans="1:19" ht="15">
      <c r="A2381" s="28" t="s">
        <v>929</v>
      </c>
      <c r="B2381" s="278" t="s">
        <v>2031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>
        <v>211.30000000000109</v>
      </c>
      <c r="M2381" s="67">
        <f t="shared" si="59"/>
        <v>211.30000000000109</v>
      </c>
      <c r="S2381" s="82"/>
    </row>
    <row r="2382" spans="1:19" ht="15">
      <c r="A2382" s="28" t="s">
        <v>930</v>
      </c>
      <c r="B2382" s="229" t="s">
        <v>1648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>
        <v>207.20000000000437</v>
      </c>
      <c r="J2382" s="9" t="s">
        <v>279</v>
      </c>
      <c r="K2382" s="9" t="s">
        <v>279</v>
      </c>
      <c r="L2382" s="69"/>
      <c r="M2382" s="67">
        <f t="shared" si="59"/>
        <v>207.20000000000437</v>
      </c>
    </row>
    <row r="2383" spans="1:19" ht="15">
      <c r="A2383" s="28" t="s">
        <v>931</v>
      </c>
      <c r="B2383" s="278" t="s">
        <v>2034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>
        <v>189.60000000000036</v>
      </c>
      <c r="M2383" s="67">
        <f t="shared" si="59"/>
        <v>189.60000000000036</v>
      </c>
      <c r="S2383" s="3"/>
    </row>
    <row r="2384" spans="1:19" ht="15">
      <c r="A2384" s="28" t="s">
        <v>932</v>
      </c>
      <c r="B2384" s="278" t="s">
        <v>2028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>
        <v>149.99999999999454</v>
      </c>
      <c r="M2384" s="67">
        <f t="shared" si="59"/>
        <v>149.99999999999454</v>
      </c>
      <c r="S2384" s="3"/>
    </row>
    <row r="2385" spans="1:19" ht="15">
      <c r="A2385" s="28" t="s">
        <v>933</v>
      </c>
      <c r="B2385" s="229" t="s">
        <v>1676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9">
        <v>129.60000000000218</v>
      </c>
      <c r="J2385" s="9" t="s">
        <v>279</v>
      </c>
      <c r="K2385" s="9" t="s">
        <v>279</v>
      </c>
      <c r="L2385" s="69"/>
      <c r="M2385" s="67">
        <f t="shared" si="59"/>
        <v>129.60000000000218</v>
      </c>
      <c r="S2385" s="3"/>
    </row>
    <row r="2386" spans="1:19" ht="15">
      <c r="A2386" s="28" t="s">
        <v>934</v>
      </c>
      <c r="B2386" s="63" t="s">
        <v>774</v>
      </c>
      <c r="E2386" s="9" t="s">
        <v>279</v>
      </c>
      <c r="F2386" s="9" t="s">
        <v>279</v>
      </c>
      <c r="G2386" s="9" t="s">
        <v>279</v>
      </c>
      <c r="H2386" s="9">
        <v>113.5</v>
      </c>
      <c r="I2386" s="9" t="s">
        <v>279</v>
      </c>
      <c r="J2386" s="9" t="s">
        <v>279</v>
      </c>
      <c r="K2386" s="9" t="s">
        <v>279</v>
      </c>
      <c r="L2386" s="69"/>
      <c r="M2386" s="67">
        <f t="shared" si="59"/>
        <v>113.5</v>
      </c>
    </row>
    <row r="2387" spans="1:19" ht="15">
      <c r="A2387" s="28" t="s">
        <v>935</v>
      </c>
      <c r="B2387" s="229" t="s">
        <v>1651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>
        <v>69.799999999999272</v>
      </c>
      <c r="J2387" s="9" t="s">
        <v>279</v>
      </c>
      <c r="K2387" s="9" t="s">
        <v>279</v>
      </c>
      <c r="L2387" s="69"/>
      <c r="M2387" s="67">
        <f t="shared" si="59"/>
        <v>69.799999999999272</v>
      </c>
      <c r="S2387" s="60"/>
    </row>
    <row r="2388" spans="1:19" ht="15">
      <c r="A2388" s="28" t="s">
        <v>2505</v>
      </c>
      <c r="B2388" s="229" t="s">
        <v>1658</v>
      </c>
      <c r="C2388" s="3"/>
      <c r="D2388" s="3"/>
      <c r="E2388" s="9" t="s">
        <v>279</v>
      </c>
      <c r="F2388" s="9" t="s">
        <v>279</v>
      </c>
      <c r="G2388" s="9" t="s">
        <v>279</v>
      </c>
      <c r="H2388" s="9" t="s">
        <v>279</v>
      </c>
      <c r="I2388" s="9">
        <v>44</v>
      </c>
      <c r="J2388" s="9" t="s">
        <v>279</v>
      </c>
      <c r="K2388" s="9" t="s">
        <v>279</v>
      </c>
      <c r="M2388" s="67">
        <f t="shared" si="59"/>
        <v>44</v>
      </c>
    </row>
    <row r="2389" spans="1:19" ht="15">
      <c r="A2389" s="28" t="s">
        <v>3323</v>
      </c>
      <c r="B2389" s="63" t="s">
        <v>3385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3324</v>
      </c>
      <c r="B2390" s="63" t="s">
        <v>3379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3325</v>
      </c>
      <c r="B2391" s="63" t="s">
        <v>3378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3326</v>
      </c>
      <c r="B2392" s="63" t="s">
        <v>3394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3327</v>
      </c>
      <c r="B2393" s="63" t="s">
        <v>3393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3328</v>
      </c>
      <c r="B2394" s="63" t="s">
        <v>3381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3329</v>
      </c>
      <c r="B2395" s="63" t="s">
        <v>3375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3330</v>
      </c>
      <c r="B2396" s="63" t="s">
        <v>3406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3331</v>
      </c>
      <c r="B2397" s="278" t="s">
        <v>3374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3332</v>
      </c>
      <c r="B2398" s="63" t="s">
        <v>3390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3333</v>
      </c>
      <c r="B2399" s="63" t="s">
        <v>3387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3334</v>
      </c>
      <c r="B2400" s="63" t="s">
        <v>3402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3335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3336</v>
      </c>
      <c r="B2402" s="63" t="s">
        <v>3403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3337</v>
      </c>
      <c r="B2403" s="63" t="s">
        <v>3382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3338</v>
      </c>
      <c r="B2404" s="63" t="s">
        <v>3376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3339</v>
      </c>
      <c r="B2405" s="63" t="s">
        <v>3383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3340</v>
      </c>
      <c r="B2406" s="63" t="s">
        <v>3380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3341</v>
      </c>
      <c r="B2407" s="63" t="s">
        <v>3391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3342</v>
      </c>
      <c r="B2408" s="63" t="s">
        <v>3386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3343</v>
      </c>
      <c r="B2409" s="278" t="s">
        <v>3373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3344</v>
      </c>
      <c r="B2410" s="63" t="s">
        <v>3388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3345</v>
      </c>
      <c r="B2411" s="63" t="s">
        <v>3407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3346</v>
      </c>
      <c r="B2412" s="63" t="s">
        <v>3377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4138</v>
      </c>
      <c r="B2413" s="63" t="s">
        <v>3384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4139</v>
      </c>
      <c r="B2414" s="63" t="s">
        <v>3405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4140</v>
      </c>
      <c r="B2415" s="63" t="s">
        <v>3389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196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60">SUM(E2422:K2422)</f>
        <v>2968.050000000002</v>
      </c>
      <c r="O2422" t="s">
        <v>2643</v>
      </c>
      <c r="R2422" s="21" t="s">
        <v>1774</v>
      </c>
      <c r="S2422" s="278"/>
      <c r="T2422" s="63"/>
      <c r="U2422" s="348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60"/>
        <v>2967.6500000000024</v>
      </c>
      <c r="O2423" t="s">
        <v>296</v>
      </c>
      <c r="R2423" t="s">
        <v>1774</v>
      </c>
      <c r="S2423" s="225"/>
      <c r="T2423" s="63"/>
      <c r="U2423" s="348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60"/>
        <v>2804.4999999999918</v>
      </c>
      <c r="O2424" t="s">
        <v>379</v>
      </c>
      <c r="R2424" s="219"/>
      <c r="S2424" s="63"/>
      <c r="T2424" s="63"/>
      <c r="U2424" s="349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60"/>
        <v>2721.3000000000025</v>
      </c>
      <c r="O2425" t="s">
        <v>2480</v>
      </c>
      <c r="R2425" s="219"/>
      <c r="S2425" s="278"/>
      <c r="T2425" s="63"/>
      <c r="U2425" s="348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60"/>
        <v>2696.949999999998</v>
      </c>
      <c r="O2426" t="s">
        <v>283</v>
      </c>
      <c r="R2426" s="219"/>
      <c r="S2426" s="225"/>
      <c r="T2426" s="63"/>
      <c r="U2426" s="348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60"/>
        <v>2627.8999999999978</v>
      </c>
      <c r="O2427" t="s">
        <v>281</v>
      </c>
      <c r="R2427" t="s">
        <v>1774</v>
      </c>
      <c r="S2427" s="225"/>
      <c r="T2427" s="63"/>
      <c r="U2427" s="348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60"/>
        <v>2614.9999999999955</v>
      </c>
      <c r="O2428" t="s">
        <v>358</v>
      </c>
      <c r="S2428" s="278"/>
      <c r="T2428" s="63"/>
      <c r="U2428" s="348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60"/>
        <v>2563.6000000000063</v>
      </c>
      <c r="O2429" t="s">
        <v>342</v>
      </c>
      <c r="R2429" s="219"/>
      <c r="S2429" s="278"/>
      <c r="T2429" s="63"/>
      <c r="U2429" s="348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60"/>
        <v>2517.0500000000034</v>
      </c>
      <c r="O2430" t="s">
        <v>310</v>
      </c>
      <c r="R2430" s="219"/>
      <c r="S2430" s="278"/>
      <c r="T2430" s="63"/>
      <c r="U2430" s="348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60"/>
        <v>2502.9499999999985</v>
      </c>
      <c r="O2431" t="s">
        <v>2481</v>
      </c>
      <c r="R2431" s="219"/>
      <c r="S2431" s="225"/>
      <c r="T2431" s="63"/>
      <c r="U2431" s="349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60"/>
        <v>2492.9000000000042</v>
      </c>
      <c r="O2432" t="s">
        <v>308</v>
      </c>
      <c r="R2432" s="219"/>
      <c r="S2432" s="63"/>
      <c r="T2432" s="63"/>
      <c r="U2432" s="348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60"/>
        <v>2425.7000000000003</v>
      </c>
      <c r="O2433" t="s">
        <v>306</v>
      </c>
      <c r="R2433" s="219"/>
      <c r="S2433" s="278"/>
      <c r="T2433" s="63"/>
      <c r="U2433" s="348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279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60"/>
        <v>2414.0999999999908</v>
      </c>
      <c r="O2434" t="s">
        <v>302</v>
      </c>
      <c r="R2434" t="s">
        <v>1774</v>
      </c>
      <c r="S2434" s="63"/>
      <c r="T2434" s="63"/>
      <c r="U2434" s="348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60"/>
        <v>2321.2499999999977</v>
      </c>
      <c r="O2435" t="s">
        <v>299</v>
      </c>
      <c r="R2435" s="219"/>
      <c r="S2435" s="278"/>
      <c r="T2435" s="63"/>
      <c r="U2435" s="349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279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60"/>
        <v>2311.5999999999981</v>
      </c>
      <c r="O2436" t="s">
        <v>343</v>
      </c>
      <c r="R2436" s="219"/>
      <c r="S2436" s="63"/>
      <c r="T2436" s="63"/>
      <c r="U2436" s="348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60"/>
        <v>2285.4500000000025</v>
      </c>
      <c r="O2437" t="s">
        <v>354</v>
      </c>
      <c r="R2437" s="219"/>
      <c r="S2437" s="278"/>
      <c r="T2437" s="63"/>
      <c r="U2437" s="349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279</v>
      </c>
      <c r="F2438" s="9" t="s">
        <v>279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60"/>
        <v>2203.4999999999991</v>
      </c>
      <c r="O2438" t="s">
        <v>317</v>
      </c>
      <c r="R2438" s="219"/>
      <c r="S2438" s="63"/>
      <c r="T2438" s="63"/>
      <c r="U2438" s="348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60"/>
        <v>2097.6499999999965</v>
      </c>
      <c r="O2439" t="s">
        <v>357</v>
      </c>
      <c r="R2439" s="219"/>
      <c r="S2439" s="278"/>
      <c r="T2439" s="63"/>
      <c r="U2439" s="348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279</v>
      </c>
      <c r="L2440" s="69"/>
      <c r="M2440" s="67">
        <f t="shared" si="60"/>
        <v>2041.450000000003</v>
      </c>
      <c r="O2440" t="s">
        <v>284</v>
      </c>
      <c r="R2440" s="219"/>
      <c r="S2440" s="278"/>
      <c r="T2440" s="63"/>
      <c r="U2440" s="348"/>
      <c r="V2440" s="63"/>
      <c r="W2440" s="63"/>
    </row>
    <row r="2441" spans="1:23" ht="15">
      <c r="A2441" s="28" t="s">
        <v>36</v>
      </c>
      <c r="B2441" s="63" t="s">
        <v>738</v>
      </c>
      <c r="E2441" s="9" t="s">
        <v>279</v>
      </c>
      <c r="F2441" s="9" t="s">
        <v>279</v>
      </c>
      <c r="G2441" s="9" t="s">
        <v>279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60"/>
        <v>2022.4000000000051</v>
      </c>
      <c r="O2441" t="s">
        <v>294</v>
      </c>
      <c r="R2441" s="219"/>
      <c r="S2441" s="278"/>
      <c r="T2441" s="63"/>
      <c r="U2441" s="349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279</v>
      </c>
      <c r="F2442" s="9" t="s">
        <v>279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60"/>
        <v>1973.4000000000037</v>
      </c>
      <c r="O2442" t="s">
        <v>288</v>
      </c>
      <c r="R2442" s="219"/>
      <c r="S2442" s="225"/>
      <c r="T2442" s="63"/>
      <c r="U2442" s="348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279</v>
      </c>
      <c r="F2443" s="9" t="s">
        <v>279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60"/>
        <v>1949.4999999999952</v>
      </c>
      <c r="O2443" t="s">
        <v>298</v>
      </c>
      <c r="R2443" s="219"/>
      <c r="S2443" s="63"/>
      <c r="T2443" s="63"/>
      <c r="U2443" s="349"/>
      <c r="V2443" s="63"/>
      <c r="W2443" s="63"/>
    </row>
    <row r="2444" spans="1:23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60"/>
        <v>1945.3000000000034</v>
      </c>
      <c r="O2444" t="s">
        <v>315</v>
      </c>
      <c r="R2444" s="219"/>
      <c r="S2444" s="278"/>
      <c r="T2444" s="63"/>
      <c r="U2444" s="348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279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60"/>
        <v>1942.300000000004</v>
      </c>
      <c r="R2445" s="219"/>
      <c r="S2445" s="63"/>
      <c r="T2445" s="63"/>
      <c r="U2445" s="348"/>
      <c r="V2445" s="63"/>
      <c r="W2445" s="63"/>
    </row>
    <row r="2446" spans="1:23" ht="15">
      <c r="A2446" s="28" t="s">
        <v>151</v>
      </c>
      <c r="B2446" s="63" t="s">
        <v>762</v>
      </c>
      <c r="E2446" s="9" t="s">
        <v>279</v>
      </c>
      <c r="F2446" s="9" t="s">
        <v>279</v>
      </c>
      <c r="G2446" s="9" t="s">
        <v>279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60"/>
        <v>1889.2000000000016</v>
      </c>
      <c r="O2446" t="s">
        <v>302</v>
      </c>
      <c r="R2446" s="21" t="s">
        <v>2644</v>
      </c>
      <c r="S2446" s="278"/>
      <c r="T2446" s="63"/>
      <c r="U2446" s="348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279</v>
      </c>
      <c r="L2447" s="69"/>
      <c r="M2447" s="67">
        <f t="shared" si="60"/>
        <v>1886.0000000000007</v>
      </c>
      <c r="O2447" t="s">
        <v>298</v>
      </c>
      <c r="R2447" s="219"/>
      <c r="S2447" s="63"/>
      <c r="T2447" s="63"/>
      <c r="U2447" s="348"/>
      <c r="V2447" s="63"/>
      <c r="W2447" s="63"/>
    </row>
    <row r="2448" spans="1:23" ht="15">
      <c r="A2448" s="28" t="s">
        <v>159</v>
      </c>
      <c r="B2448" s="229" t="s">
        <v>1647</v>
      </c>
      <c r="C2448" s="3"/>
      <c r="D2448" s="3"/>
      <c r="E2448" s="9" t="s">
        <v>279</v>
      </c>
      <c r="F2448" s="9" t="s">
        <v>279</v>
      </c>
      <c r="G2448" s="9" t="s">
        <v>279</v>
      </c>
      <c r="H2448" s="9" t="s">
        <v>279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60"/>
        <v>1883.6500000000087</v>
      </c>
      <c r="O2448" t="s">
        <v>2645</v>
      </c>
      <c r="R2448" s="21" t="s">
        <v>1774</v>
      </c>
      <c r="S2448" s="278"/>
      <c r="T2448" s="63"/>
      <c r="U2448" s="348"/>
      <c r="V2448" s="63"/>
      <c r="W2448" s="63"/>
    </row>
    <row r="2449" spans="1:23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60"/>
        <v>1846.3999999999987</v>
      </c>
      <c r="O2449" t="s">
        <v>289</v>
      </c>
      <c r="R2449" s="219"/>
      <c r="S2449" s="278"/>
      <c r="T2449" s="63"/>
      <c r="U2449" s="348"/>
      <c r="V2449" s="63"/>
      <c r="W2449" s="63"/>
    </row>
    <row r="2450" spans="1:23" ht="15">
      <c r="A2450" s="28" t="s">
        <v>161</v>
      </c>
      <c r="B2450" s="63" t="s">
        <v>779</v>
      </c>
      <c r="E2450" s="9" t="s">
        <v>279</v>
      </c>
      <c r="F2450" s="9" t="s">
        <v>279</v>
      </c>
      <c r="G2450" s="9" t="s">
        <v>279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60"/>
        <v>1830.5000000000009</v>
      </c>
      <c r="R2450" s="219"/>
      <c r="S2450" s="278"/>
      <c r="T2450" s="63"/>
      <c r="U2450" s="348"/>
      <c r="V2450" s="63"/>
      <c r="W2450" s="63"/>
    </row>
    <row r="2451" spans="1:23" ht="15">
      <c r="A2451" s="28" t="s">
        <v>163</v>
      </c>
      <c r="B2451" s="28" t="s">
        <v>733</v>
      </c>
      <c r="E2451" s="9" t="s">
        <v>279</v>
      </c>
      <c r="F2451" s="9" t="s">
        <v>279</v>
      </c>
      <c r="G2451" s="9" t="s">
        <v>279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60"/>
        <v>1799.1000000000013</v>
      </c>
      <c r="R2451" s="219"/>
      <c r="S2451" s="63"/>
      <c r="T2451" s="63"/>
      <c r="U2451" s="348"/>
      <c r="V2451" s="63"/>
      <c r="W2451" s="63"/>
    </row>
    <row r="2452" spans="1:23" ht="15">
      <c r="A2452" s="28" t="s">
        <v>275</v>
      </c>
      <c r="B2452" s="63" t="s">
        <v>764</v>
      </c>
      <c r="E2452" s="9" t="s">
        <v>279</v>
      </c>
      <c r="F2452" s="9" t="s">
        <v>279</v>
      </c>
      <c r="G2452" s="9" t="s">
        <v>279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60"/>
        <v>1745.7500000000009</v>
      </c>
      <c r="O2452" t="s">
        <v>301</v>
      </c>
      <c r="R2452" s="219"/>
      <c r="S2452" s="63"/>
      <c r="T2452" s="63"/>
      <c r="U2452" s="348"/>
      <c r="V2452" s="63"/>
      <c r="W2452" s="63"/>
    </row>
    <row r="2453" spans="1:23" ht="15">
      <c r="A2453" s="28" t="s">
        <v>276</v>
      </c>
      <c r="B2453" s="63" t="s">
        <v>800</v>
      </c>
      <c r="E2453" s="9" t="s">
        <v>279</v>
      </c>
      <c r="F2453" s="9" t="s">
        <v>279</v>
      </c>
      <c r="G2453" s="9" t="s">
        <v>279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60"/>
        <v>1727.8999999999978</v>
      </c>
      <c r="R2453" s="219"/>
      <c r="S2453" s="225"/>
      <c r="T2453" s="63"/>
      <c r="U2453" s="348"/>
      <c r="V2453" s="63"/>
      <c r="W2453" s="63"/>
    </row>
    <row r="2454" spans="1:23" ht="15">
      <c r="A2454" s="28" t="s">
        <v>277</v>
      </c>
      <c r="B2454" s="63" t="s">
        <v>783</v>
      </c>
      <c r="E2454" s="9" t="s">
        <v>279</v>
      </c>
      <c r="F2454" s="9" t="s">
        <v>279</v>
      </c>
      <c r="G2454" s="9" t="s">
        <v>279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61">SUM(E2454:K2454)</f>
        <v>1717.2000000000007</v>
      </c>
      <c r="R2454" s="219"/>
      <c r="S2454" s="63"/>
      <c r="T2454" s="63"/>
      <c r="U2454" s="348"/>
      <c r="V2454" s="63"/>
      <c r="W2454" s="63"/>
    </row>
    <row r="2455" spans="1:23" ht="15">
      <c r="A2455" s="28" t="s">
        <v>278</v>
      </c>
      <c r="B2455" s="63" t="s">
        <v>753</v>
      </c>
      <c r="E2455" s="9" t="s">
        <v>279</v>
      </c>
      <c r="F2455" s="9" t="s">
        <v>279</v>
      </c>
      <c r="G2455" s="9" t="s">
        <v>279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61"/>
        <v>1656.1000000000013</v>
      </c>
      <c r="O2455" t="s">
        <v>293</v>
      </c>
      <c r="S2455" s="278"/>
      <c r="T2455" s="63"/>
      <c r="U2455" s="348"/>
      <c r="V2455" s="63"/>
      <c r="W2455" s="63"/>
    </row>
    <row r="2456" spans="1:23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61"/>
        <v>1642.1999999999916</v>
      </c>
      <c r="O2456" t="s">
        <v>283</v>
      </c>
      <c r="S2456" s="63"/>
      <c r="T2456" s="63"/>
      <c r="U2456" s="348"/>
      <c r="V2456" s="63"/>
      <c r="W2456" s="63"/>
    </row>
    <row r="2457" spans="1:23" ht="15">
      <c r="A2457" s="28" t="s">
        <v>736</v>
      </c>
      <c r="B2457" s="63" t="s">
        <v>796</v>
      </c>
      <c r="E2457" s="9" t="s">
        <v>279</v>
      </c>
      <c r="F2457" s="9" t="s">
        <v>279</v>
      </c>
      <c r="G2457" s="9" t="s">
        <v>279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61"/>
        <v>1625.0999999999985</v>
      </c>
      <c r="R2457" s="219"/>
      <c r="S2457" s="28"/>
      <c r="T2457" s="63"/>
      <c r="U2457" s="349"/>
      <c r="V2457" s="63"/>
      <c r="W2457" s="63"/>
    </row>
    <row r="2458" spans="1:23" ht="15">
      <c r="A2458" s="28" t="s">
        <v>737</v>
      </c>
      <c r="B2458" s="63" t="s">
        <v>763</v>
      </c>
      <c r="E2458" s="9" t="s">
        <v>279</v>
      </c>
      <c r="F2458" s="9" t="s">
        <v>279</v>
      </c>
      <c r="G2458" s="9" t="s">
        <v>279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61"/>
        <v>1603.9999999999973</v>
      </c>
      <c r="R2458" s="219"/>
      <c r="S2458" s="63"/>
      <c r="T2458" s="63"/>
      <c r="U2458" s="348"/>
      <c r="V2458" s="63"/>
      <c r="W2458" s="63"/>
    </row>
    <row r="2459" spans="1:23" ht="15">
      <c r="A2459" s="28" t="s">
        <v>739</v>
      </c>
      <c r="B2459" s="229" t="s">
        <v>1652</v>
      </c>
      <c r="C2459" s="3"/>
      <c r="D2459" s="3"/>
      <c r="E2459" s="9" t="s">
        <v>279</v>
      </c>
      <c r="F2459" s="9" t="s">
        <v>279</v>
      </c>
      <c r="G2459" s="9" t="s">
        <v>279</v>
      </c>
      <c r="H2459" s="9" t="s">
        <v>279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61"/>
        <v>1589.2999999999975</v>
      </c>
      <c r="O2459" t="s">
        <v>283</v>
      </c>
      <c r="S2459" s="278"/>
      <c r="T2459" s="63"/>
      <c r="U2459" s="349"/>
      <c r="V2459" s="63"/>
      <c r="W2459" s="63"/>
    </row>
    <row r="2460" spans="1:23" ht="15">
      <c r="A2460" s="28" t="s">
        <v>745</v>
      </c>
      <c r="B2460" s="229" t="s">
        <v>1661</v>
      </c>
      <c r="C2460" s="3"/>
      <c r="D2460" s="3"/>
      <c r="E2460" s="9" t="s">
        <v>279</v>
      </c>
      <c r="F2460" s="9" t="s">
        <v>279</v>
      </c>
      <c r="G2460" s="9" t="s">
        <v>279</v>
      </c>
      <c r="H2460" s="9" t="s">
        <v>279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61"/>
        <v>1588.6999999999989</v>
      </c>
      <c r="S2460" s="278"/>
      <c r="T2460" s="63"/>
      <c r="U2460" s="349"/>
      <c r="V2460" s="63"/>
      <c r="W2460" s="63"/>
    </row>
    <row r="2461" spans="1:23" ht="15">
      <c r="A2461" s="28" t="s">
        <v>747</v>
      </c>
      <c r="B2461" s="63" t="s">
        <v>755</v>
      </c>
      <c r="E2461" s="9" t="s">
        <v>279</v>
      </c>
      <c r="F2461" s="9" t="s">
        <v>279</v>
      </c>
      <c r="G2461" s="9" t="s">
        <v>279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61"/>
        <v>1571.699999999998</v>
      </c>
      <c r="O2461" t="s">
        <v>293</v>
      </c>
      <c r="R2461" s="219"/>
      <c r="S2461" s="225"/>
      <c r="T2461" s="63"/>
      <c r="U2461" s="349"/>
      <c r="V2461" s="63"/>
      <c r="W2461" s="63"/>
    </row>
    <row r="2462" spans="1:23" ht="15">
      <c r="A2462" s="28" t="s">
        <v>750</v>
      </c>
      <c r="B2462" s="229" t="s">
        <v>1659</v>
      </c>
      <c r="C2462" s="3"/>
      <c r="D2462" s="3"/>
      <c r="E2462" s="9" t="s">
        <v>279</v>
      </c>
      <c r="F2462" s="9" t="s">
        <v>279</v>
      </c>
      <c r="G2462" s="9" t="s">
        <v>279</v>
      </c>
      <c r="H2462" s="9" t="s">
        <v>279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61"/>
        <v>1565.6000000000058</v>
      </c>
      <c r="O2462" t="s">
        <v>289</v>
      </c>
      <c r="S2462" s="63"/>
      <c r="T2462" s="63"/>
      <c r="U2462" s="349"/>
      <c r="V2462" s="63"/>
      <c r="W2462" s="63"/>
    </row>
    <row r="2463" spans="1:23" ht="15">
      <c r="A2463" s="28" t="s">
        <v>751</v>
      </c>
      <c r="B2463" s="28" t="s">
        <v>734</v>
      </c>
      <c r="E2463" s="9" t="s">
        <v>279</v>
      </c>
      <c r="F2463" s="9" t="s">
        <v>279</v>
      </c>
      <c r="G2463" s="9" t="s">
        <v>279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61"/>
        <v>1558.2000000000089</v>
      </c>
      <c r="R2463" s="219"/>
      <c r="S2463" s="63"/>
      <c r="T2463" s="63"/>
      <c r="U2463" s="348"/>
      <c r="V2463" s="63"/>
      <c r="W2463" s="63"/>
    </row>
    <row r="2464" spans="1:23" ht="15">
      <c r="A2464" s="28" t="s">
        <v>754</v>
      </c>
      <c r="B2464" s="63" t="s">
        <v>748</v>
      </c>
      <c r="E2464" s="9" t="s">
        <v>279</v>
      </c>
      <c r="F2464" s="9" t="s">
        <v>279</v>
      </c>
      <c r="G2464" s="9" t="s">
        <v>279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61"/>
        <v>1550.8999999999969</v>
      </c>
      <c r="R2464" s="219"/>
      <c r="S2464" s="278"/>
      <c r="T2464" s="63"/>
      <c r="U2464" s="348"/>
      <c r="V2464" s="63"/>
      <c r="W2464" s="63"/>
    </row>
    <row r="2465" spans="1:23" ht="15">
      <c r="A2465" s="28" t="s">
        <v>756</v>
      </c>
      <c r="B2465" s="63" t="s">
        <v>757</v>
      </c>
      <c r="E2465" s="9" t="s">
        <v>279</v>
      </c>
      <c r="F2465" s="9" t="s">
        <v>279</v>
      </c>
      <c r="G2465" s="9" t="s">
        <v>279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61"/>
        <v>1539.7999999999929</v>
      </c>
      <c r="R2465" s="219"/>
      <c r="S2465" s="278"/>
      <c r="T2465" s="63"/>
      <c r="U2465" s="349"/>
      <c r="V2465" s="63"/>
      <c r="W2465" s="63"/>
    </row>
    <row r="2466" spans="1:23" ht="15">
      <c r="A2466" s="28" t="s">
        <v>761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61"/>
        <v>1498.7000000000039</v>
      </c>
      <c r="O2466" t="s">
        <v>288</v>
      </c>
      <c r="R2466" s="219"/>
      <c r="S2466" s="225"/>
      <c r="T2466" s="63"/>
      <c r="U2466" s="348"/>
      <c r="V2466" s="63"/>
      <c r="W2466" s="63"/>
    </row>
    <row r="2467" spans="1:23" ht="15">
      <c r="A2467" s="28" t="s">
        <v>765</v>
      </c>
      <c r="B2467" s="63" t="s">
        <v>778</v>
      </c>
      <c r="E2467" s="9" t="s">
        <v>279</v>
      </c>
      <c r="F2467" s="9" t="s">
        <v>279</v>
      </c>
      <c r="G2467" s="9" t="s">
        <v>279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61"/>
        <v>1492.0999999999931</v>
      </c>
      <c r="R2467" s="219"/>
      <c r="S2467" s="225"/>
      <c r="T2467" s="63"/>
      <c r="U2467" s="348"/>
      <c r="V2467" s="63"/>
      <c r="W2467" s="63"/>
    </row>
    <row r="2468" spans="1:23" ht="15">
      <c r="A2468" s="28" t="s">
        <v>766</v>
      </c>
      <c r="B2468" s="229" t="s">
        <v>1656</v>
      </c>
      <c r="C2468" s="3"/>
      <c r="D2468" s="3"/>
      <c r="E2468" s="9" t="s">
        <v>279</v>
      </c>
      <c r="F2468" s="9" t="s">
        <v>279</v>
      </c>
      <c r="G2468" s="9" t="s">
        <v>279</v>
      </c>
      <c r="H2468" s="9" t="s">
        <v>279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61"/>
        <v>1489.8999999999978</v>
      </c>
      <c r="S2468" s="225"/>
      <c r="T2468" s="63"/>
      <c r="U2468" s="348"/>
      <c r="V2468" s="63"/>
      <c r="W2468" s="63"/>
    </row>
    <row r="2469" spans="1:23" ht="15">
      <c r="A2469" s="28" t="s">
        <v>767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279</v>
      </c>
      <c r="I2469" s="9" t="s">
        <v>279</v>
      </c>
      <c r="J2469" s="9">
        <v>591.40000000000146</v>
      </c>
      <c r="K2469" s="9" t="s">
        <v>279</v>
      </c>
      <c r="L2469" s="69"/>
      <c r="M2469" s="67">
        <f t="shared" si="61"/>
        <v>1487.1000000000015</v>
      </c>
      <c r="O2469" t="s">
        <v>308</v>
      </c>
      <c r="R2469" s="219"/>
      <c r="S2469" s="278"/>
      <c r="T2469" s="63"/>
      <c r="U2469" s="349"/>
      <c r="V2469" s="63"/>
      <c r="W2469" s="63"/>
    </row>
    <row r="2470" spans="1:23" ht="15">
      <c r="A2470" s="28" t="s">
        <v>773</v>
      </c>
      <c r="B2470" s="229" t="s">
        <v>1655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61"/>
        <v>1470.5999999999985</v>
      </c>
      <c r="S2470" s="63"/>
      <c r="T2470" s="63"/>
      <c r="U2470" s="348"/>
      <c r="V2470" s="63"/>
      <c r="W2470" s="63"/>
    </row>
    <row r="2471" spans="1:23" ht="15">
      <c r="A2471" s="28" t="s">
        <v>781</v>
      </c>
      <c r="B2471" s="225" t="s">
        <v>1662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61"/>
        <v>1466.1999999999916</v>
      </c>
      <c r="S2471" s="278"/>
      <c r="T2471" s="63"/>
      <c r="U2471" s="348"/>
      <c r="V2471" s="63"/>
      <c r="W2471" s="63"/>
    </row>
    <row r="2472" spans="1:23" ht="15">
      <c r="A2472" s="28" t="s">
        <v>785</v>
      </c>
      <c r="B2472" s="229" t="s">
        <v>1643</v>
      </c>
      <c r="C2472" s="3"/>
      <c r="D2472" s="3"/>
      <c r="E2472" s="9" t="s">
        <v>279</v>
      </c>
      <c r="F2472" s="9" t="s">
        <v>279</v>
      </c>
      <c r="G2472" s="9" t="s">
        <v>279</v>
      </c>
      <c r="H2472" s="9" t="s">
        <v>279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61"/>
        <v>1454.300000000002</v>
      </c>
      <c r="S2472" s="63"/>
      <c r="T2472" s="63"/>
      <c r="U2472" s="349"/>
      <c r="V2472" s="63"/>
      <c r="W2472" s="63"/>
    </row>
    <row r="2473" spans="1:23" ht="15">
      <c r="A2473" s="28" t="s">
        <v>786</v>
      </c>
      <c r="B2473" s="63" t="s">
        <v>790</v>
      </c>
      <c r="E2473" s="9" t="s">
        <v>279</v>
      </c>
      <c r="F2473" s="9" t="s">
        <v>279</v>
      </c>
      <c r="G2473" s="9" t="s">
        <v>279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61"/>
        <v>1445.800000000002</v>
      </c>
      <c r="R2473" s="219"/>
      <c r="S2473" s="63"/>
      <c r="T2473" s="63"/>
      <c r="U2473" s="348"/>
      <c r="V2473" s="63"/>
      <c r="W2473" s="63"/>
    </row>
    <row r="2474" spans="1:23" ht="15">
      <c r="A2474" s="28" t="s">
        <v>787</v>
      </c>
      <c r="B2474" s="63" t="s">
        <v>771</v>
      </c>
      <c r="E2474" s="9" t="s">
        <v>279</v>
      </c>
      <c r="F2474" s="9" t="s">
        <v>279</v>
      </c>
      <c r="G2474" s="9" t="s">
        <v>279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61"/>
        <v>1442.3999999999996</v>
      </c>
      <c r="R2474" s="219"/>
      <c r="S2474" s="63"/>
      <c r="T2474" s="63"/>
      <c r="U2474" s="348"/>
      <c r="V2474" s="63"/>
      <c r="W2474" s="63"/>
    </row>
    <row r="2475" spans="1:23" ht="15">
      <c r="A2475" s="28" t="s">
        <v>793</v>
      </c>
      <c r="B2475" s="63" t="s">
        <v>156</v>
      </c>
      <c r="E2475" s="9" t="s">
        <v>279</v>
      </c>
      <c r="F2475" s="9" t="s">
        <v>279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61"/>
        <v>1405.9000000000015</v>
      </c>
      <c r="R2475" s="219"/>
      <c r="S2475" s="28"/>
      <c r="T2475" s="63"/>
      <c r="U2475" s="348"/>
      <c r="V2475" s="63"/>
      <c r="W2475" s="63"/>
    </row>
    <row r="2476" spans="1:23" ht="15">
      <c r="A2476" s="28" t="s">
        <v>794</v>
      </c>
      <c r="B2476" s="63" t="s">
        <v>788</v>
      </c>
      <c r="E2476" s="9" t="s">
        <v>279</v>
      </c>
      <c r="F2476" s="9" t="s">
        <v>279</v>
      </c>
      <c r="G2476" s="9" t="s">
        <v>279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61"/>
        <v>1399.3959999999952</v>
      </c>
      <c r="R2476" s="219"/>
      <c r="S2476" s="63"/>
      <c r="T2476" s="63"/>
      <c r="U2476" s="348"/>
      <c r="V2476" s="63"/>
      <c r="W2476" s="63"/>
    </row>
    <row r="2477" spans="1:23" ht="15">
      <c r="A2477" s="28" t="s">
        <v>795</v>
      </c>
      <c r="B2477" s="63" t="s">
        <v>782</v>
      </c>
      <c r="E2477" s="9" t="s">
        <v>279</v>
      </c>
      <c r="F2477" s="9" t="s">
        <v>279</v>
      </c>
      <c r="G2477" s="9" t="s">
        <v>279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61"/>
        <v>1351.9000000000042</v>
      </c>
      <c r="S2477" s="225"/>
      <c r="T2477" s="63"/>
      <c r="U2477" s="348"/>
      <c r="V2477" s="63"/>
      <c r="W2477" s="63"/>
    </row>
    <row r="2478" spans="1:23" ht="15">
      <c r="A2478" s="28" t="s">
        <v>797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279</v>
      </c>
      <c r="K2478" s="9" t="s">
        <v>279</v>
      </c>
      <c r="L2478" s="69"/>
      <c r="M2478" s="67">
        <f t="shared" si="61"/>
        <v>1267.4999999999989</v>
      </c>
      <c r="O2478" t="s">
        <v>289</v>
      </c>
      <c r="R2478" s="219"/>
      <c r="S2478" s="63"/>
      <c r="T2478" s="63"/>
      <c r="U2478" s="348"/>
      <c r="V2478" s="63"/>
      <c r="W2478" s="63"/>
    </row>
    <row r="2479" spans="1:23" ht="15">
      <c r="A2479" s="28" t="s">
        <v>798</v>
      </c>
      <c r="B2479" s="229" t="s">
        <v>1653</v>
      </c>
      <c r="C2479" s="3"/>
      <c r="D2479" s="3"/>
      <c r="E2479" s="9" t="s">
        <v>279</v>
      </c>
      <c r="F2479" s="9" t="s">
        <v>279</v>
      </c>
      <c r="G2479" s="9" t="s">
        <v>279</v>
      </c>
      <c r="H2479" s="9" t="s">
        <v>279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61"/>
        <v>1248.6999999999944</v>
      </c>
      <c r="S2479" s="278"/>
      <c r="T2479" s="63"/>
      <c r="U2479" s="349"/>
      <c r="V2479" s="63"/>
      <c r="W2479" s="63"/>
    </row>
    <row r="2480" spans="1:23" ht="15">
      <c r="A2480" s="28" t="s">
        <v>799</v>
      </c>
      <c r="B2480" s="229" t="s">
        <v>1654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61"/>
        <v>1232.4999999999973</v>
      </c>
      <c r="S2480" s="63"/>
      <c r="T2480" s="63"/>
      <c r="U2480" s="348"/>
      <c r="V2480" s="63"/>
      <c r="W2480" s="63"/>
    </row>
    <row r="2481" spans="1:23" ht="15">
      <c r="A2481" s="28" t="s">
        <v>802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279</v>
      </c>
      <c r="K2481" s="9" t="s">
        <v>279</v>
      </c>
      <c r="L2481" s="69"/>
      <c r="M2481" s="67">
        <f t="shared" si="61"/>
        <v>1121.5500000000015</v>
      </c>
      <c r="R2481" s="219"/>
      <c r="S2481" s="63"/>
      <c r="T2481" s="63"/>
      <c r="U2481" s="349"/>
      <c r="V2481" s="63"/>
      <c r="W2481" s="63"/>
    </row>
    <row r="2482" spans="1:23" ht="15">
      <c r="A2482" s="28" t="s">
        <v>896</v>
      </c>
      <c r="B2482" s="28" t="s">
        <v>728</v>
      </c>
      <c r="E2482" s="9" t="s">
        <v>279</v>
      </c>
      <c r="F2482" s="9" t="s">
        <v>279</v>
      </c>
      <c r="G2482" s="9" t="s">
        <v>279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61"/>
        <v>1105.0499999999993</v>
      </c>
      <c r="R2482" s="219"/>
      <c r="S2482" s="278"/>
      <c r="T2482" s="63"/>
      <c r="U2482" s="349"/>
      <c r="V2482" s="63"/>
      <c r="W2482" s="63"/>
    </row>
    <row r="2483" spans="1:23" ht="15">
      <c r="A2483" s="28" t="s">
        <v>897</v>
      </c>
      <c r="B2483" s="229" t="s">
        <v>1644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61"/>
        <v>1086.2999999999938</v>
      </c>
      <c r="S2483" s="278"/>
      <c r="T2483" s="63"/>
      <c r="U2483" s="348"/>
      <c r="V2483" s="63"/>
      <c r="W2483" s="63"/>
    </row>
    <row r="2484" spans="1:23" ht="15">
      <c r="A2484" s="28" t="s">
        <v>898</v>
      </c>
      <c r="B2484" s="229" t="s">
        <v>1645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217">
        <v>652.89999999999964</v>
      </c>
      <c r="J2484" s="9">
        <v>422.90000000000327</v>
      </c>
      <c r="K2484" s="9" t="s">
        <v>279</v>
      </c>
      <c r="L2484" s="69"/>
      <c r="M2484" s="67">
        <f t="shared" si="61"/>
        <v>1075.8000000000029</v>
      </c>
      <c r="O2484" t="s">
        <v>294</v>
      </c>
      <c r="S2484" s="63"/>
      <c r="T2484" s="63"/>
      <c r="U2484" s="349"/>
      <c r="V2484" s="63"/>
      <c r="W2484" s="63"/>
    </row>
    <row r="2485" spans="1:23" ht="15">
      <c r="A2485" s="28" t="s">
        <v>899</v>
      </c>
      <c r="B2485" s="229" t="s">
        <v>1657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61"/>
        <v>1024.4999999999982</v>
      </c>
      <c r="S2485" s="278"/>
      <c r="T2485" s="63"/>
      <c r="U2485" s="349"/>
      <c r="V2485" s="63"/>
      <c r="W2485" s="63"/>
    </row>
    <row r="2486" spans="1:23" ht="15">
      <c r="A2486" s="28" t="s">
        <v>900</v>
      </c>
      <c r="B2486" s="278" t="s">
        <v>2014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507.00000000000182</v>
      </c>
      <c r="K2486" s="217">
        <v>500.79999999999836</v>
      </c>
      <c r="L2486" s="69"/>
      <c r="M2486" s="67">
        <f t="shared" ref="M2486:M2522" si="62">SUM(E2486:K2486)</f>
        <v>1007.8000000000002</v>
      </c>
      <c r="O2486" t="s">
        <v>288</v>
      </c>
      <c r="S2486" s="278"/>
      <c r="T2486" s="63"/>
      <c r="U2486" s="348"/>
      <c r="V2486" s="63"/>
      <c r="W2486" s="63"/>
    </row>
    <row r="2487" spans="1:23" ht="15">
      <c r="A2487" s="28" t="s">
        <v>901</v>
      </c>
      <c r="B2487" s="278" t="s">
        <v>2006</v>
      </c>
      <c r="C2487" s="3"/>
      <c r="D2487" s="3"/>
      <c r="E2487" s="9" t="s">
        <v>279</v>
      </c>
      <c r="F2487" s="9" t="s">
        <v>279</v>
      </c>
      <c r="G2487" s="9" t="s">
        <v>279</v>
      </c>
      <c r="H2487" s="9" t="s">
        <v>279</v>
      </c>
      <c r="I2487" s="9" t="s">
        <v>279</v>
      </c>
      <c r="J2487" s="217">
        <v>653.70000000000255</v>
      </c>
      <c r="K2487" s="9">
        <v>350.40000000000146</v>
      </c>
      <c r="L2487" s="69"/>
      <c r="M2487" s="67">
        <f t="shared" si="62"/>
        <v>1004.100000000004</v>
      </c>
      <c r="O2487" t="s">
        <v>285</v>
      </c>
      <c r="S2487" s="278"/>
      <c r="T2487" s="63"/>
      <c r="U2487" s="348"/>
      <c r="V2487" s="63"/>
      <c r="W2487" s="63"/>
    </row>
    <row r="2488" spans="1:23" ht="15">
      <c r="A2488" s="28" t="s">
        <v>902</v>
      </c>
      <c r="B2488" s="278" t="s">
        <v>2015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602.5</v>
      </c>
      <c r="K2488" s="9">
        <v>321.00000000000091</v>
      </c>
      <c r="L2488" s="69"/>
      <c r="M2488" s="67">
        <f t="shared" si="62"/>
        <v>923.50000000000091</v>
      </c>
      <c r="S2488" s="63"/>
      <c r="T2488" s="63"/>
      <c r="U2488" s="348"/>
      <c r="V2488" s="63"/>
      <c r="W2488" s="63"/>
    </row>
    <row r="2489" spans="1:23" ht="15">
      <c r="A2489" s="28" t="s">
        <v>903</v>
      </c>
      <c r="B2489" s="278" t="s">
        <v>2011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482.99999999999818</v>
      </c>
      <c r="K2489" s="9">
        <v>415.34999999999854</v>
      </c>
      <c r="L2489" s="69"/>
      <c r="M2489" s="67">
        <f t="shared" si="62"/>
        <v>898.34999999999673</v>
      </c>
      <c r="S2489" s="63"/>
      <c r="T2489" s="63"/>
      <c r="U2489" s="348"/>
      <c r="V2489" s="63"/>
      <c r="W2489" s="63"/>
    </row>
    <row r="2490" spans="1:23" ht="15">
      <c r="A2490" s="28" t="s">
        <v>904</v>
      </c>
      <c r="B2490" s="278" t="s">
        <v>2013</v>
      </c>
      <c r="C2490" s="3"/>
      <c r="D2490" s="3"/>
      <c r="E2490" s="9" t="s">
        <v>279</v>
      </c>
      <c r="F2490" s="9" t="s">
        <v>279</v>
      </c>
      <c r="G2490" s="9" t="s">
        <v>279</v>
      </c>
      <c r="H2490" s="9" t="s">
        <v>279</v>
      </c>
      <c r="I2490" s="9" t="s">
        <v>279</v>
      </c>
      <c r="J2490" s="9">
        <v>467.70000000000164</v>
      </c>
      <c r="K2490" s="9">
        <v>402.79999999999745</v>
      </c>
      <c r="L2490" s="69"/>
      <c r="M2490" s="67">
        <f t="shared" si="62"/>
        <v>870.49999999999909</v>
      </c>
      <c r="S2490" s="63"/>
      <c r="T2490" s="63"/>
      <c r="U2490" s="349"/>
      <c r="V2490" s="63"/>
      <c r="W2490" s="63"/>
    </row>
    <row r="2491" spans="1:23" ht="15">
      <c r="A2491" s="28" t="s">
        <v>905</v>
      </c>
      <c r="B2491" s="278" t="s">
        <v>2012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430.80000000000018</v>
      </c>
      <c r="K2491" s="9">
        <v>434.39999999999964</v>
      </c>
      <c r="L2491" s="69"/>
      <c r="M2491" s="67">
        <f t="shared" si="62"/>
        <v>865.19999999999982</v>
      </c>
      <c r="S2491" s="278"/>
      <c r="T2491" s="63"/>
      <c r="U2491" s="348"/>
      <c r="V2491" s="63"/>
      <c r="W2491" s="63"/>
    </row>
    <row r="2492" spans="1:23" ht="15">
      <c r="A2492" s="28" t="s">
        <v>906</v>
      </c>
      <c r="B2492" s="278" t="s">
        <v>2010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9" t="s">
        <v>279</v>
      </c>
      <c r="J2492" s="9">
        <v>458.19999999999709</v>
      </c>
      <c r="K2492" s="9">
        <v>405.89999999999964</v>
      </c>
      <c r="L2492" s="69"/>
      <c r="M2492" s="67">
        <f t="shared" si="62"/>
        <v>864.09999999999673</v>
      </c>
      <c r="S2492" s="278"/>
      <c r="T2492" s="63"/>
      <c r="U2492" s="348"/>
      <c r="V2492" s="63"/>
      <c r="W2492" s="63"/>
    </row>
    <row r="2493" spans="1:23" ht="15">
      <c r="A2493" s="28" t="s">
        <v>907</v>
      </c>
      <c r="B2493" s="63" t="s">
        <v>769</v>
      </c>
      <c r="E2493" s="9" t="s">
        <v>279</v>
      </c>
      <c r="F2493" s="9" t="s">
        <v>279</v>
      </c>
      <c r="G2493" s="9" t="s">
        <v>279</v>
      </c>
      <c r="H2493" s="9">
        <v>276.25000000000364</v>
      </c>
      <c r="I2493" s="9">
        <v>521.79999999999563</v>
      </c>
      <c r="J2493" s="9" t="s">
        <v>279</v>
      </c>
      <c r="K2493" s="9" t="s">
        <v>279</v>
      </c>
      <c r="L2493" s="69"/>
      <c r="M2493" s="67">
        <f t="shared" si="62"/>
        <v>798.04999999999927</v>
      </c>
      <c r="R2493" s="219"/>
      <c r="S2493" s="28"/>
      <c r="T2493" s="63"/>
      <c r="U2493" s="348"/>
      <c r="V2493" s="63"/>
      <c r="W2493" s="63"/>
    </row>
    <row r="2494" spans="1:23" ht="15">
      <c r="A2494" s="28" t="s">
        <v>908</v>
      </c>
      <c r="B2494" s="278" t="s">
        <v>2022</v>
      </c>
      <c r="C2494" s="3"/>
      <c r="D2494" s="3"/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>
        <v>469.5</v>
      </c>
      <c r="K2494" s="9">
        <v>327.30000000000109</v>
      </c>
      <c r="L2494" s="69"/>
      <c r="M2494" s="67">
        <f t="shared" si="62"/>
        <v>796.80000000000109</v>
      </c>
      <c r="S2494" s="225"/>
      <c r="T2494" s="63"/>
      <c r="U2494" s="348"/>
      <c r="V2494" s="63"/>
      <c r="W2494" s="63"/>
    </row>
    <row r="2495" spans="1:23" ht="15">
      <c r="A2495" s="28" t="s">
        <v>909</v>
      </c>
      <c r="B2495" s="63" t="s">
        <v>178</v>
      </c>
      <c r="E2495" s="214">
        <v>448.75</v>
      </c>
      <c r="F2495" s="217">
        <v>345.9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 t="s">
        <v>279</v>
      </c>
      <c r="L2495" s="69"/>
      <c r="M2495" s="67">
        <f t="shared" si="62"/>
        <v>794.65</v>
      </c>
      <c r="O2495" t="s">
        <v>356</v>
      </c>
      <c r="R2495" t="s">
        <v>1774</v>
      </c>
      <c r="S2495" s="278"/>
      <c r="T2495" s="63"/>
      <c r="U2495" s="348"/>
      <c r="V2495" s="63"/>
      <c r="W2495" s="63"/>
    </row>
    <row r="2496" spans="1:23" ht="15">
      <c r="A2496" s="28" t="s">
        <v>910</v>
      </c>
      <c r="B2496" s="278" t="s">
        <v>2007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261.59999999999945</v>
      </c>
      <c r="K2496" s="217">
        <v>516.99999999999818</v>
      </c>
      <c r="L2496" s="69"/>
      <c r="M2496" s="67">
        <f t="shared" si="62"/>
        <v>778.59999999999764</v>
      </c>
      <c r="O2496" t="s">
        <v>285</v>
      </c>
      <c r="S2496" s="278"/>
      <c r="T2496" s="63"/>
      <c r="U2496" s="348"/>
      <c r="V2496" s="63"/>
      <c r="W2496" s="63"/>
    </row>
    <row r="2497" spans="1:23" ht="15">
      <c r="A2497" s="28" t="s">
        <v>911</v>
      </c>
      <c r="B2497" s="63" t="s">
        <v>158</v>
      </c>
      <c r="E2497" s="9" t="s">
        <v>279</v>
      </c>
      <c r="F2497" s="9" t="s">
        <v>279</v>
      </c>
      <c r="G2497" s="9">
        <v>136.4</v>
      </c>
      <c r="H2497" s="9">
        <v>123.80000000000109</v>
      </c>
      <c r="I2497" s="9">
        <v>470.80000000000109</v>
      </c>
      <c r="J2497" s="9" t="s">
        <v>279</v>
      </c>
      <c r="K2497" s="9" t="s">
        <v>279</v>
      </c>
      <c r="L2497" s="69"/>
      <c r="M2497" s="67">
        <f t="shared" si="62"/>
        <v>731.00000000000216</v>
      </c>
      <c r="R2497" s="219"/>
      <c r="S2497" s="28"/>
      <c r="T2497" s="63"/>
      <c r="U2497" s="348"/>
      <c r="V2497" s="63"/>
      <c r="W2497" s="63"/>
    </row>
    <row r="2498" spans="1:23" ht="15">
      <c r="A2498" s="28" t="s">
        <v>912</v>
      </c>
      <c r="B2498" s="225" t="s">
        <v>1641</v>
      </c>
      <c r="C2498" s="3"/>
      <c r="D2498" s="3"/>
      <c r="E2498" s="9" t="s">
        <v>279</v>
      </c>
      <c r="F2498" s="9" t="s">
        <v>279</v>
      </c>
      <c r="G2498" s="9" t="s">
        <v>279</v>
      </c>
      <c r="H2498" s="9" t="s">
        <v>279</v>
      </c>
      <c r="I2498" s="213">
        <v>713.49999999999818</v>
      </c>
      <c r="J2498" s="9" t="s">
        <v>279</v>
      </c>
      <c r="K2498" s="9" t="s">
        <v>279</v>
      </c>
      <c r="L2498" s="69"/>
      <c r="M2498" s="67">
        <f t="shared" si="62"/>
        <v>713.49999999999818</v>
      </c>
      <c r="O2498" t="s">
        <v>283</v>
      </c>
      <c r="S2498" s="225"/>
      <c r="T2498" s="63"/>
      <c r="U2498" s="348"/>
      <c r="V2498" s="63"/>
      <c r="W2498" s="63"/>
    </row>
    <row r="2499" spans="1:23" ht="15">
      <c r="A2499" s="28" t="s">
        <v>913</v>
      </c>
      <c r="B2499" s="63" t="s">
        <v>744</v>
      </c>
      <c r="E2499" s="9" t="s">
        <v>279</v>
      </c>
      <c r="F2499" s="9" t="s">
        <v>279</v>
      </c>
      <c r="G2499" s="9" t="s">
        <v>279</v>
      </c>
      <c r="H2499" s="9">
        <v>118.50000000000182</v>
      </c>
      <c r="I2499" s="9">
        <v>510.59999999999854</v>
      </c>
      <c r="J2499" s="9" t="s">
        <v>279</v>
      </c>
      <c r="K2499" s="9" t="s">
        <v>279</v>
      </c>
      <c r="L2499" s="69"/>
      <c r="M2499" s="67">
        <f t="shared" si="62"/>
        <v>629.10000000000036</v>
      </c>
      <c r="S2499" s="63"/>
      <c r="T2499" s="63"/>
      <c r="U2499" s="348"/>
      <c r="V2499" s="63"/>
      <c r="W2499" s="63"/>
    </row>
    <row r="2500" spans="1:23" ht="15">
      <c r="A2500" s="28" t="s">
        <v>914</v>
      </c>
      <c r="B2500" s="229" t="s">
        <v>1650</v>
      </c>
      <c r="C2500" s="3"/>
      <c r="D2500" s="3"/>
      <c r="E2500" s="9" t="s">
        <v>279</v>
      </c>
      <c r="F2500" s="9" t="s">
        <v>279</v>
      </c>
      <c r="G2500" s="9" t="s">
        <v>279</v>
      </c>
      <c r="H2500" s="9" t="s">
        <v>279</v>
      </c>
      <c r="I2500" s="9">
        <v>618.39999999999964</v>
      </c>
      <c r="J2500" s="9" t="s">
        <v>279</v>
      </c>
      <c r="K2500" s="9" t="s">
        <v>279</v>
      </c>
      <c r="L2500" s="69"/>
      <c r="M2500" s="67">
        <f t="shared" si="62"/>
        <v>618.39999999999964</v>
      </c>
      <c r="S2500" s="63"/>
      <c r="T2500" s="63"/>
      <c r="U2500" s="348"/>
      <c r="V2500" s="63"/>
      <c r="W2500" s="63"/>
    </row>
    <row r="2501" spans="1:23" ht="15">
      <c r="A2501" s="28" t="s">
        <v>915</v>
      </c>
      <c r="B2501" s="278" t="s">
        <v>2161</v>
      </c>
      <c r="E2501" s="9" t="s">
        <v>279</v>
      </c>
      <c r="F2501" s="9" t="s">
        <v>279</v>
      </c>
      <c r="G2501" s="9" t="s">
        <v>279</v>
      </c>
      <c r="H2501" s="9" t="s">
        <v>279</v>
      </c>
      <c r="I2501" s="9" t="s">
        <v>279</v>
      </c>
      <c r="J2501" s="9" t="s">
        <v>279</v>
      </c>
      <c r="K2501" s="9">
        <v>488.60000000000127</v>
      </c>
      <c r="L2501" s="69"/>
      <c r="M2501" s="67">
        <f t="shared" si="62"/>
        <v>488.60000000000127</v>
      </c>
      <c r="S2501" s="278"/>
      <c r="T2501" s="63"/>
      <c r="U2501" s="348"/>
      <c r="V2501" s="63"/>
      <c r="W2501" s="63"/>
    </row>
    <row r="2502" spans="1:23" ht="15">
      <c r="A2502" s="28" t="s">
        <v>916</v>
      </c>
      <c r="B2502" s="278" t="s">
        <v>2032</v>
      </c>
      <c r="E2502" s="9" t="s">
        <v>279</v>
      </c>
      <c r="F2502" s="9" t="s">
        <v>279</v>
      </c>
      <c r="G2502" s="9" t="s">
        <v>279</v>
      </c>
      <c r="H2502" s="9" t="s">
        <v>279</v>
      </c>
      <c r="I2502" s="9" t="s">
        <v>279</v>
      </c>
      <c r="J2502" s="9" t="s">
        <v>279</v>
      </c>
      <c r="K2502" s="9">
        <v>481.09999999999945</v>
      </c>
      <c r="L2502" s="69"/>
      <c r="M2502" s="67">
        <f t="shared" si="62"/>
        <v>481.09999999999945</v>
      </c>
      <c r="S2502" s="63"/>
      <c r="T2502" s="63"/>
    </row>
    <row r="2503" spans="1:23" ht="15">
      <c r="A2503" s="28" t="s">
        <v>917</v>
      </c>
      <c r="B2503" s="229" t="s">
        <v>1676</v>
      </c>
      <c r="C2503" s="3"/>
      <c r="D2503" s="3"/>
      <c r="E2503" s="9" t="s">
        <v>279</v>
      </c>
      <c r="F2503" s="9" t="s">
        <v>279</v>
      </c>
      <c r="G2503" s="9" t="s">
        <v>279</v>
      </c>
      <c r="H2503" s="9" t="s">
        <v>279</v>
      </c>
      <c r="I2503" s="9">
        <v>452.80000000000109</v>
      </c>
      <c r="J2503" s="9" t="s">
        <v>279</v>
      </c>
      <c r="K2503" s="9" t="s">
        <v>279</v>
      </c>
      <c r="L2503" s="69"/>
      <c r="M2503" s="67">
        <f t="shared" si="62"/>
        <v>452.80000000000109</v>
      </c>
    </row>
    <row r="2504" spans="1:23" ht="15">
      <c r="A2504" s="28" t="s">
        <v>918</v>
      </c>
      <c r="B2504" s="278" t="s">
        <v>2034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452.80000000000109</v>
      </c>
      <c r="L2504" s="69"/>
      <c r="M2504" s="67">
        <f t="shared" si="62"/>
        <v>452.80000000000109</v>
      </c>
      <c r="S2504" s="225"/>
      <c r="T2504" s="63"/>
    </row>
    <row r="2505" spans="1:23" ht="15">
      <c r="A2505" s="28" t="s">
        <v>919</v>
      </c>
      <c r="B2505" s="229" t="s">
        <v>1648</v>
      </c>
      <c r="C2505" s="3"/>
      <c r="D2505" s="3"/>
      <c r="E2505" s="9" t="s">
        <v>279</v>
      </c>
      <c r="F2505" s="9" t="s">
        <v>279</v>
      </c>
      <c r="G2505" s="9" t="s">
        <v>279</v>
      </c>
      <c r="H2505" s="9" t="s">
        <v>279</v>
      </c>
      <c r="I2505" s="9">
        <v>447.80000000000109</v>
      </c>
      <c r="J2505" s="9" t="s">
        <v>279</v>
      </c>
      <c r="K2505" s="9" t="s">
        <v>279</v>
      </c>
      <c r="L2505" s="69"/>
      <c r="M2505" s="67">
        <f t="shared" si="62"/>
        <v>447.80000000000109</v>
      </c>
      <c r="S2505" s="225"/>
      <c r="T2505" s="63"/>
    </row>
    <row r="2506" spans="1:23" ht="15">
      <c r="A2506" s="28" t="s">
        <v>920</v>
      </c>
      <c r="B2506" s="278" t="s">
        <v>4520</v>
      </c>
      <c r="E2506" s="9" t="s">
        <v>279</v>
      </c>
      <c r="F2506" s="9" t="s">
        <v>279</v>
      </c>
      <c r="G2506" s="9" t="s">
        <v>279</v>
      </c>
      <c r="H2506" s="9" t="s">
        <v>279</v>
      </c>
      <c r="I2506" s="9" t="s">
        <v>279</v>
      </c>
      <c r="J2506" s="9" t="s">
        <v>279</v>
      </c>
      <c r="K2506" s="9">
        <v>433.30000000000018</v>
      </c>
      <c r="L2506" s="69"/>
      <c r="M2506" s="67">
        <f t="shared" si="62"/>
        <v>433.30000000000018</v>
      </c>
      <c r="S2506" s="278"/>
      <c r="T2506" s="63"/>
    </row>
    <row r="2507" spans="1:23" ht="15">
      <c r="A2507" s="28" t="s">
        <v>921</v>
      </c>
      <c r="B2507" s="278" t="s">
        <v>2027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423.29999999999745</v>
      </c>
      <c r="L2507" s="69"/>
      <c r="M2507" s="67">
        <f t="shared" si="62"/>
        <v>423.29999999999745</v>
      </c>
      <c r="S2507" s="63"/>
      <c r="T2507" s="63"/>
    </row>
    <row r="2508" spans="1:23" ht="15">
      <c r="A2508" s="28" t="s">
        <v>922</v>
      </c>
      <c r="B2508" s="229" t="s">
        <v>1651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399.79999999999927</v>
      </c>
      <c r="J2508" s="9" t="s">
        <v>279</v>
      </c>
      <c r="K2508" s="9" t="s">
        <v>279</v>
      </c>
      <c r="L2508" s="69"/>
      <c r="M2508" s="67">
        <f t="shared" si="62"/>
        <v>399.79999999999927</v>
      </c>
      <c r="S2508" s="278"/>
      <c r="T2508" s="63"/>
    </row>
    <row r="2509" spans="1:23" ht="15">
      <c r="A2509" s="28" t="s">
        <v>923</v>
      </c>
      <c r="B2509" s="278" t="s">
        <v>2008</v>
      </c>
      <c r="C2509" s="3"/>
      <c r="D2509" s="3"/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>
        <v>387.70000000000255</v>
      </c>
      <c r="K2509" s="9" t="s">
        <v>279</v>
      </c>
      <c r="L2509" s="69"/>
      <c r="M2509" s="67">
        <f t="shared" si="62"/>
        <v>387.70000000000255</v>
      </c>
      <c r="S2509" s="63"/>
      <c r="T2509" s="63"/>
    </row>
    <row r="2510" spans="1:23" ht="15">
      <c r="A2510" s="28" t="s">
        <v>924</v>
      </c>
      <c r="B2510" s="278" t="s">
        <v>2033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>
        <v>344.39999999999873</v>
      </c>
      <c r="L2510" s="69"/>
      <c r="M2510" s="67">
        <f t="shared" si="62"/>
        <v>344.39999999999873</v>
      </c>
    </row>
    <row r="2511" spans="1:23" ht="15">
      <c r="A2511" s="28" t="s">
        <v>925</v>
      </c>
      <c r="B2511" s="229" t="s">
        <v>1658</v>
      </c>
      <c r="C2511" s="3"/>
      <c r="D2511" s="3"/>
      <c r="E2511" s="9" t="s">
        <v>279</v>
      </c>
      <c r="F2511" s="9" t="s">
        <v>279</v>
      </c>
      <c r="G2511" s="9" t="s">
        <v>279</v>
      </c>
      <c r="H2511" s="9" t="s">
        <v>279</v>
      </c>
      <c r="I2511" s="9">
        <v>344</v>
      </c>
      <c r="J2511" s="9" t="s">
        <v>279</v>
      </c>
      <c r="K2511" s="9" t="s">
        <v>279</v>
      </c>
      <c r="L2511" s="69"/>
      <c r="M2511" s="67">
        <f t="shared" si="62"/>
        <v>344</v>
      </c>
      <c r="S2511" s="63"/>
      <c r="T2511" s="63"/>
    </row>
    <row r="2512" spans="1:23" ht="15">
      <c r="A2512" s="28" t="s">
        <v>926</v>
      </c>
      <c r="B2512" s="63" t="s">
        <v>784</v>
      </c>
      <c r="E2512" s="9" t="s">
        <v>279</v>
      </c>
      <c r="F2512" s="9" t="s">
        <v>279</v>
      </c>
      <c r="G2512" s="9" t="s">
        <v>279</v>
      </c>
      <c r="H2512" s="9">
        <v>331.29999999999927</v>
      </c>
      <c r="I2512" s="9" t="s">
        <v>279</v>
      </c>
      <c r="J2512" s="9" t="s">
        <v>279</v>
      </c>
      <c r="K2512" s="9" t="s">
        <v>279</v>
      </c>
      <c r="L2512" s="69"/>
      <c r="M2512" s="67">
        <f t="shared" si="62"/>
        <v>331.29999999999927</v>
      </c>
      <c r="R2512" s="219"/>
      <c r="S2512" s="225"/>
      <c r="T2512" s="63"/>
    </row>
    <row r="2513" spans="1:20" ht="15">
      <c r="A2513" s="28" t="s">
        <v>927</v>
      </c>
      <c r="B2513" s="278" t="s">
        <v>2031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>
        <v>317.5</v>
      </c>
      <c r="L2513" s="69"/>
      <c r="M2513" s="67">
        <f t="shared" si="62"/>
        <v>317.5</v>
      </c>
      <c r="S2513" s="63"/>
      <c r="T2513" s="63"/>
    </row>
    <row r="2514" spans="1:20" ht="15">
      <c r="A2514" s="28" t="s">
        <v>928</v>
      </c>
      <c r="B2514" s="278" t="s">
        <v>2029</v>
      </c>
      <c r="E2514" s="9" t="s">
        <v>279</v>
      </c>
      <c r="F2514" s="9" t="s">
        <v>279</v>
      </c>
      <c r="G2514" s="9" t="s">
        <v>279</v>
      </c>
      <c r="H2514" s="9" t="s">
        <v>279</v>
      </c>
      <c r="I2514" s="9" t="s">
        <v>279</v>
      </c>
      <c r="J2514" s="9" t="s">
        <v>279</v>
      </c>
      <c r="K2514" s="9">
        <v>303.10000000000127</v>
      </c>
      <c r="L2514" s="69"/>
      <c r="M2514" s="67">
        <f t="shared" si="62"/>
        <v>303.10000000000127</v>
      </c>
      <c r="S2514" s="28"/>
      <c r="T2514" s="63"/>
    </row>
    <row r="2515" spans="1:20" ht="15">
      <c r="A2515" s="28" t="s">
        <v>929</v>
      </c>
      <c r="B2515" s="278" t="s">
        <v>2054</v>
      </c>
      <c r="E2515" s="9" t="s">
        <v>279</v>
      </c>
      <c r="F2515" s="9" t="s">
        <v>279</v>
      </c>
      <c r="G2515" s="9" t="s">
        <v>279</v>
      </c>
      <c r="H2515" s="9" t="s">
        <v>279</v>
      </c>
      <c r="I2515" s="9" t="s">
        <v>279</v>
      </c>
      <c r="J2515" s="9" t="s">
        <v>279</v>
      </c>
      <c r="K2515" s="9">
        <v>274.29999999999927</v>
      </c>
      <c r="L2515" s="69"/>
      <c r="M2515" s="67">
        <f t="shared" si="62"/>
        <v>274.29999999999927</v>
      </c>
      <c r="S2515" s="63"/>
      <c r="T2515" s="63"/>
    </row>
    <row r="2516" spans="1:20" ht="15">
      <c r="A2516" s="28" t="s">
        <v>930</v>
      </c>
      <c r="B2516" s="278" t="s">
        <v>2028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>
        <v>263.39999999999509</v>
      </c>
      <c r="L2516" s="69"/>
      <c r="M2516" s="67">
        <f t="shared" si="62"/>
        <v>263.39999999999509</v>
      </c>
    </row>
    <row r="2517" spans="1:20" ht="15">
      <c r="A2517" s="28" t="s">
        <v>931</v>
      </c>
      <c r="B2517" s="278" t="s">
        <v>2056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>
        <v>239.699999999998</v>
      </c>
      <c r="L2517" s="69"/>
      <c r="M2517" s="67">
        <f t="shared" si="62"/>
        <v>239.699999999998</v>
      </c>
      <c r="S2517" s="63"/>
      <c r="T2517" s="63"/>
    </row>
    <row r="2518" spans="1:20" ht="15">
      <c r="A2518" s="28" t="s">
        <v>932</v>
      </c>
      <c r="B2518" s="278" t="s">
        <v>2030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238.00000000000091</v>
      </c>
      <c r="L2518" s="69"/>
      <c r="M2518" s="67">
        <f t="shared" si="62"/>
        <v>238.00000000000091</v>
      </c>
      <c r="S2518" s="63"/>
      <c r="T2518" s="63"/>
    </row>
    <row r="2519" spans="1:20" ht="15">
      <c r="A2519" s="28" t="s">
        <v>933</v>
      </c>
      <c r="B2519" s="63" t="s">
        <v>164</v>
      </c>
      <c r="E2519" s="9" t="s">
        <v>279</v>
      </c>
      <c r="F2519" s="9" t="s">
        <v>279</v>
      </c>
      <c r="G2519" s="9">
        <v>182.3</v>
      </c>
      <c r="H2519" s="9" t="s">
        <v>279</v>
      </c>
      <c r="I2519" s="9" t="s">
        <v>279</v>
      </c>
      <c r="J2519" s="9" t="s">
        <v>279</v>
      </c>
      <c r="K2519" s="9" t="s">
        <v>279</v>
      </c>
      <c r="L2519" s="69"/>
      <c r="M2519" s="67">
        <f t="shared" si="62"/>
        <v>182.3</v>
      </c>
      <c r="R2519" s="219"/>
      <c r="S2519" s="225"/>
      <c r="T2519" s="63"/>
    </row>
    <row r="2520" spans="1:20" ht="15">
      <c r="A2520" s="28" t="s">
        <v>934</v>
      </c>
      <c r="B2520" s="63" t="s">
        <v>774</v>
      </c>
      <c r="E2520" s="9" t="s">
        <v>279</v>
      </c>
      <c r="F2520" s="9" t="s">
        <v>279</v>
      </c>
      <c r="G2520" s="9" t="s">
        <v>279</v>
      </c>
      <c r="H2520" s="9">
        <v>175.50000000000091</v>
      </c>
      <c r="I2520" s="9" t="s">
        <v>279</v>
      </c>
      <c r="J2520" s="9" t="s">
        <v>279</v>
      </c>
      <c r="K2520" s="9" t="s">
        <v>279</v>
      </c>
      <c r="L2520" s="69"/>
      <c r="M2520" s="67">
        <f t="shared" si="62"/>
        <v>175.50000000000091</v>
      </c>
      <c r="R2520" s="219"/>
    </row>
    <row r="2521" spans="1:20" ht="15">
      <c r="A2521" s="28" t="s">
        <v>935</v>
      </c>
      <c r="B2521" s="278" t="s">
        <v>2057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>
        <v>122.50000000000091</v>
      </c>
      <c r="L2521" s="69"/>
      <c r="M2521" s="67">
        <f t="shared" si="62"/>
        <v>122.50000000000091</v>
      </c>
      <c r="S2521" s="63"/>
      <c r="T2521" s="63"/>
    </row>
    <row r="2522" spans="1:20" ht="15">
      <c r="A2522" s="28" t="s">
        <v>2505</v>
      </c>
      <c r="B2522" s="63" t="s">
        <v>179</v>
      </c>
      <c r="E2522" s="9">
        <v>82.5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 t="s">
        <v>279</v>
      </c>
      <c r="K2522" s="9" t="s">
        <v>279</v>
      </c>
      <c r="L2522" s="69"/>
      <c r="M2522" s="67">
        <f t="shared" si="62"/>
        <v>82.5</v>
      </c>
    </row>
    <row r="2523" spans="1:20" ht="15">
      <c r="A2523" s="28" t="s">
        <v>3323</v>
      </c>
      <c r="B2523" s="63" t="s">
        <v>3385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3324</v>
      </c>
      <c r="B2524" s="63" t="s">
        <v>3379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3325</v>
      </c>
      <c r="B2525" s="63" t="s">
        <v>3378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3326</v>
      </c>
      <c r="B2526" s="63" t="s">
        <v>3394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3327</v>
      </c>
      <c r="B2527" s="63" t="s">
        <v>3393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3328</v>
      </c>
      <c r="B2528" s="63" t="s">
        <v>3381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3329</v>
      </c>
      <c r="B2529" s="63" t="s">
        <v>3375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3330</v>
      </c>
      <c r="B2530" s="63" t="s">
        <v>3406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3331</v>
      </c>
      <c r="B2531" s="278" t="s">
        <v>3374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3332</v>
      </c>
      <c r="B2532" s="63" t="s">
        <v>3390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3333</v>
      </c>
      <c r="B2533" s="63" t="s">
        <v>3387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3334</v>
      </c>
      <c r="B2534" s="63" t="s">
        <v>3402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3335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3336</v>
      </c>
      <c r="B2536" s="63" t="s">
        <v>3403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3337</v>
      </c>
      <c r="B2537" s="63" t="s">
        <v>3382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3338</v>
      </c>
      <c r="B2538" s="63" t="s">
        <v>3376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3339</v>
      </c>
      <c r="B2539" s="63" t="s">
        <v>3383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3340</v>
      </c>
      <c r="B2540" s="63" t="s">
        <v>3380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3341</v>
      </c>
      <c r="B2541" s="63" t="s">
        <v>3391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3342</v>
      </c>
      <c r="B2542" s="63" t="s">
        <v>3386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3343</v>
      </c>
      <c r="B2543" s="278" t="s">
        <v>3373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3344</v>
      </c>
      <c r="B2544" s="63" t="s">
        <v>3388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3345</v>
      </c>
      <c r="B2545" s="63" t="s">
        <v>3407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3346</v>
      </c>
      <c r="B2546" s="63" t="s">
        <v>3377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4138</v>
      </c>
      <c r="B2547" s="63" t="s">
        <v>3384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4139</v>
      </c>
      <c r="B2548" s="63" t="s">
        <v>3405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4140</v>
      </c>
      <c r="B2549" s="63" t="s">
        <v>3389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63">SUM(E2556:K2556)</f>
        <v>3934.8499999999985</v>
      </c>
      <c r="O2556" t="s">
        <v>2661</v>
      </c>
      <c r="R2556" t="s">
        <v>1775</v>
      </c>
      <c r="S2556" s="278"/>
      <c r="T2556" s="63"/>
      <c r="U2556" s="348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63"/>
        <v>3573.6499999999996</v>
      </c>
      <c r="O2557" t="s">
        <v>2662</v>
      </c>
      <c r="R2557" t="s">
        <v>993</v>
      </c>
      <c r="S2557" s="225"/>
      <c r="T2557" s="63"/>
      <c r="U2557" s="348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279</v>
      </c>
      <c r="M2558" s="67">
        <f t="shared" si="63"/>
        <v>3167.3999999999992</v>
      </c>
      <c r="O2558" t="s">
        <v>327</v>
      </c>
      <c r="R2558" s="21" t="s">
        <v>1776</v>
      </c>
      <c r="S2558" s="63"/>
      <c r="T2558" s="63"/>
      <c r="U2558" s="349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63"/>
        <v>3079.65</v>
      </c>
      <c r="O2559" t="s">
        <v>338</v>
      </c>
      <c r="S2559" s="278"/>
      <c r="T2559" s="63"/>
      <c r="U2559" s="348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63"/>
        <v>3000.4499999999975</v>
      </c>
      <c r="O2560" t="s">
        <v>359</v>
      </c>
      <c r="S2560" s="225"/>
      <c r="T2560" s="63"/>
      <c r="U2560" s="348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279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63"/>
        <v>2773.699999999998</v>
      </c>
      <c r="O2561" t="s">
        <v>2488</v>
      </c>
      <c r="R2561" s="21" t="s">
        <v>1776</v>
      </c>
      <c r="S2561" s="225"/>
      <c r="T2561" s="63"/>
      <c r="U2561" s="348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63"/>
        <v>2756.6500000000019</v>
      </c>
      <c r="O2562" t="s">
        <v>309</v>
      </c>
      <c r="S2562" s="278"/>
      <c r="T2562" s="63"/>
      <c r="U2562" s="348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63"/>
        <v>2574.3999999999978</v>
      </c>
      <c r="O2563" t="s">
        <v>301</v>
      </c>
      <c r="S2563" s="278"/>
      <c r="T2563" s="63"/>
      <c r="U2563" s="348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63"/>
        <v>2523.5999999999967</v>
      </c>
      <c r="O2564" t="s">
        <v>300</v>
      </c>
      <c r="S2564" s="278"/>
      <c r="T2564" s="63"/>
      <c r="U2564" s="348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63"/>
        <v>2511.7999999999984</v>
      </c>
      <c r="O2565" t="s">
        <v>282</v>
      </c>
      <c r="R2565" t="s">
        <v>1776</v>
      </c>
      <c r="S2565" s="225"/>
      <c r="T2565" s="63"/>
      <c r="U2565" s="349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63"/>
        <v>2462.2999999999965</v>
      </c>
      <c r="O2566" t="s">
        <v>338</v>
      </c>
      <c r="S2566" s="63"/>
      <c r="T2566" s="63"/>
      <c r="U2566" s="348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63"/>
        <v>2422.7000000000025</v>
      </c>
      <c r="O2567" t="s">
        <v>323</v>
      </c>
      <c r="S2567" s="278"/>
      <c r="T2567" s="63"/>
      <c r="U2567" s="348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63"/>
        <v>2393.0999999999995</v>
      </c>
      <c r="S2568" s="63"/>
      <c r="T2568" s="63"/>
      <c r="U2568" s="348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63"/>
        <v>2373.6999999999998</v>
      </c>
      <c r="O2569" t="s">
        <v>289</v>
      </c>
      <c r="S2569" s="278"/>
      <c r="T2569" s="63"/>
      <c r="U2569" s="349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63"/>
        <v>2295.2000000000021</v>
      </c>
      <c r="S2570" s="63"/>
      <c r="T2570" s="63"/>
      <c r="U2570" s="348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279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63"/>
        <v>2209.550000000002</v>
      </c>
      <c r="O2571" t="s">
        <v>317</v>
      </c>
      <c r="S2571" s="278"/>
      <c r="T2571" s="63"/>
      <c r="U2571" s="349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279</v>
      </c>
      <c r="I2572" s="9">
        <v>0</v>
      </c>
      <c r="J2572" s="9">
        <v>514.15000000000146</v>
      </c>
      <c r="K2572" s="9" t="s">
        <v>279</v>
      </c>
      <c r="M2572" s="67">
        <f t="shared" si="63"/>
        <v>2078.5500000000015</v>
      </c>
      <c r="O2572" t="s">
        <v>288</v>
      </c>
      <c r="S2572" s="63"/>
      <c r="T2572" s="63"/>
      <c r="U2572" s="348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279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63"/>
        <v>2039.4500000000025</v>
      </c>
      <c r="S2573" s="278"/>
      <c r="T2573" s="63"/>
      <c r="U2573" s="348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279</v>
      </c>
      <c r="F2574" s="9" t="s">
        <v>279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63"/>
        <v>2028.9000000000005</v>
      </c>
      <c r="O2574" t="s">
        <v>343</v>
      </c>
      <c r="S2574" s="278"/>
      <c r="T2574" s="63"/>
      <c r="U2574" s="348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279</v>
      </c>
      <c r="F2575" s="9" t="s">
        <v>279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63"/>
        <v>2021.8500000000015</v>
      </c>
      <c r="O2575" t="s">
        <v>282</v>
      </c>
      <c r="R2575" t="s">
        <v>1776</v>
      </c>
      <c r="S2575" s="278"/>
      <c r="T2575" s="63"/>
      <c r="U2575" s="349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63"/>
        <v>1967.7999999999968</v>
      </c>
      <c r="O2576" t="s">
        <v>298</v>
      </c>
      <c r="S2576" s="225"/>
      <c r="T2576" s="63"/>
      <c r="U2576" s="348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279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63"/>
        <v>1831.100000000001</v>
      </c>
      <c r="S2577" s="63"/>
      <c r="T2577" s="63"/>
      <c r="U2577" s="349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279</v>
      </c>
      <c r="K2578" s="9" t="s">
        <v>279</v>
      </c>
      <c r="L2578" s="69"/>
      <c r="M2578" s="67">
        <f t="shared" si="63"/>
        <v>1680.6499999999967</v>
      </c>
      <c r="O2578" t="s">
        <v>315</v>
      </c>
      <c r="S2578" s="278"/>
      <c r="T2578" s="63"/>
      <c r="U2578" s="348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279</v>
      </c>
      <c r="K2579" s="9" t="s">
        <v>279</v>
      </c>
      <c r="L2579" s="69"/>
      <c r="M2579" s="67">
        <f t="shared" si="63"/>
        <v>1577.4500000000005</v>
      </c>
      <c r="O2579" t="s">
        <v>318</v>
      </c>
      <c r="S2579" s="63"/>
      <c r="T2579" s="63"/>
      <c r="U2579" s="348"/>
      <c r="V2579" s="63"/>
      <c r="W2579" s="63"/>
      <c r="X2579" s="9"/>
    </row>
    <row r="2580" spans="1:24" ht="15">
      <c r="A2580" s="28" t="s">
        <v>151</v>
      </c>
      <c r="B2580" s="63" t="s">
        <v>753</v>
      </c>
      <c r="E2580" s="9" t="s">
        <v>279</v>
      </c>
      <c r="F2580" s="9" t="s">
        <v>279</v>
      </c>
      <c r="G2580" s="9" t="s">
        <v>279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63"/>
        <v>1562.4499999999998</v>
      </c>
      <c r="O2580" t="s">
        <v>283</v>
      </c>
      <c r="S2580" s="278"/>
      <c r="T2580" s="63"/>
      <c r="U2580" s="348"/>
      <c r="V2580" s="63"/>
      <c r="W2580" s="63"/>
      <c r="X2580" s="9"/>
    </row>
    <row r="2581" spans="1:24" ht="15">
      <c r="A2581" s="28" t="s">
        <v>157</v>
      </c>
      <c r="B2581" s="63" t="s">
        <v>783</v>
      </c>
      <c r="E2581" s="9" t="s">
        <v>279</v>
      </c>
      <c r="F2581" s="9" t="s">
        <v>279</v>
      </c>
      <c r="G2581" s="9" t="s">
        <v>279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63"/>
        <v>1538.4999999999945</v>
      </c>
      <c r="O2581" t="s">
        <v>283</v>
      </c>
      <c r="S2581" s="63"/>
      <c r="T2581" s="63"/>
      <c r="U2581" s="348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279</v>
      </c>
      <c r="F2582" s="9" t="s">
        <v>279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63"/>
        <v>1528.5000000000005</v>
      </c>
      <c r="O2582" t="s">
        <v>301</v>
      </c>
      <c r="S2582" s="278"/>
      <c r="T2582" s="63"/>
      <c r="U2582" s="348"/>
      <c r="V2582" s="63"/>
      <c r="W2582" s="63"/>
      <c r="X2582" s="9"/>
    </row>
    <row r="2583" spans="1:24" ht="15">
      <c r="A2583" s="28" t="s">
        <v>160</v>
      </c>
      <c r="B2583" s="63" t="s">
        <v>764</v>
      </c>
      <c r="E2583" s="9" t="s">
        <v>279</v>
      </c>
      <c r="F2583" s="9" t="s">
        <v>279</v>
      </c>
      <c r="G2583" s="9" t="s">
        <v>279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63"/>
        <v>1508.9500000000016</v>
      </c>
      <c r="O2583" t="s">
        <v>301</v>
      </c>
      <c r="S2583" s="278"/>
      <c r="T2583" s="63"/>
      <c r="U2583" s="348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279</v>
      </c>
      <c r="M2584" s="67">
        <f t="shared" si="63"/>
        <v>1497.8</v>
      </c>
      <c r="O2584" t="s">
        <v>289</v>
      </c>
      <c r="S2584" s="278"/>
      <c r="T2584" s="63"/>
      <c r="U2584" s="348"/>
      <c r="V2584" s="63"/>
      <c r="W2584" s="63"/>
      <c r="X2584" s="9"/>
    </row>
    <row r="2585" spans="1:24" ht="15">
      <c r="A2585" s="28" t="s">
        <v>163</v>
      </c>
      <c r="B2585" s="63" t="s">
        <v>749</v>
      </c>
      <c r="E2585" s="9" t="s">
        <v>279</v>
      </c>
      <c r="F2585" s="9" t="s">
        <v>279</v>
      </c>
      <c r="G2585" s="9" t="s">
        <v>279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63"/>
        <v>1466.4499999999998</v>
      </c>
      <c r="O2585" t="s">
        <v>283</v>
      </c>
      <c r="S2585" s="63"/>
      <c r="T2585" s="63"/>
      <c r="U2585" s="348"/>
      <c r="V2585" s="63"/>
      <c r="W2585" s="63"/>
      <c r="X2585" s="9"/>
    </row>
    <row r="2586" spans="1:24" ht="15">
      <c r="A2586" s="28" t="s">
        <v>275</v>
      </c>
      <c r="B2586" s="63" t="s">
        <v>800</v>
      </c>
      <c r="E2586" s="9" t="s">
        <v>279</v>
      </c>
      <c r="F2586" s="9" t="s">
        <v>279</v>
      </c>
      <c r="G2586" s="9" t="s">
        <v>279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63"/>
        <v>1458.1000000000058</v>
      </c>
      <c r="S2586" s="63"/>
      <c r="T2586" s="63"/>
      <c r="U2586" s="348"/>
      <c r="V2586" s="63"/>
      <c r="W2586" s="63"/>
      <c r="X2586" s="9"/>
    </row>
    <row r="2587" spans="1:24" ht="15">
      <c r="A2587" s="28" t="s">
        <v>276</v>
      </c>
      <c r="B2587" s="63" t="s">
        <v>162</v>
      </c>
      <c r="E2587" s="9" t="s">
        <v>279</v>
      </c>
      <c r="F2587" s="9" t="s">
        <v>279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63"/>
        <v>1452.7499999999993</v>
      </c>
      <c r="S2587" s="225"/>
      <c r="T2587" s="63"/>
      <c r="U2587" s="348"/>
      <c r="V2587" s="63"/>
      <c r="W2587" s="63"/>
      <c r="X2587" s="9"/>
    </row>
    <row r="2588" spans="1:24" ht="15">
      <c r="A2588" s="28" t="s">
        <v>277</v>
      </c>
      <c r="B2588" s="28" t="s">
        <v>734</v>
      </c>
      <c r="E2588" s="9" t="s">
        <v>279</v>
      </c>
      <c r="F2588" s="9" t="s">
        <v>279</v>
      </c>
      <c r="G2588" s="9" t="s">
        <v>279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64">SUM(E2588:K2588)</f>
        <v>1329.0000000000009</v>
      </c>
      <c r="S2588" s="63"/>
      <c r="T2588" s="63"/>
      <c r="U2588" s="348"/>
      <c r="V2588" s="63"/>
      <c r="W2588" s="63"/>
      <c r="X2588" s="9"/>
    </row>
    <row r="2589" spans="1:24" ht="15">
      <c r="A2589" s="28" t="s">
        <v>278</v>
      </c>
      <c r="B2589" s="225" t="s">
        <v>1662</v>
      </c>
      <c r="C2589" s="3"/>
      <c r="D2589" s="3"/>
      <c r="E2589" s="9" t="s">
        <v>279</v>
      </c>
      <c r="F2589" s="9" t="s">
        <v>279</v>
      </c>
      <c r="G2589" s="9" t="s">
        <v>279</v>
      </c>
      <c r="H2589" s="9" t="s">
        <v>279</v>
      </c>
      <c r="I2589" s="9">
        <v>0</v>
      </c>
      <c r="J2589" s="212">
        <v>642.95000000000255</v>
      </c>
      <c r="K2589" s="217">
        <v>607.90000000000327</v>
      </c>
      <c r="M2589" s="67">
        <f t="shared" si="64"/>
        <v>1250.8500000000058</v>
      </c>
      <c r="O2589" t="s">
        <v>307</v>
      </c>
      <c r="S2589" s="278"/>
      <c r="T2589" s="63"/>
      <c r="U2589" s="348"/>
      <c r="V2589" s="63"/>
      <c r="W2589" s="63"/>
      <c r="X2589" s="9"/>
    </row>
    <row r="2590" spans="1:24" ht="15">
      <c r="A2590" s="28" t="s">
        <v>735</v>
      </c>
      <c r="B2590" s="229" t="s">
        <v>1661</v>
      </c>
      <c r="C2590" s="3"/>
      <c r="D2590" s="3"/>
      <c r="E2590" s="9" t="s">
        <v>279</v>
      </c>
      <c r="F2590" s="9" t="s">
        <v>279</v>
      </c>
      <c r="G2590" s="9" t="s">
        <v>279</v>
      </c>
      <c r="H2590" s="9" t="s">
        <v>279</v>
      </c>
      <c r="I2590" s="9">
        <v>0</v>
      </c>
      <c r="J2590" s="217">
        <v>626.60000000000036</v>
      </c>
      <c r="K2590" s="217">
        <v>623.29999999999745</v>
      </c>
      <c r="M2590" s="67">
        <f t="shared" si="64"/>
        <v>1249.8999999999978</v>
      </c>
      <c r="O2590" t="s">
        <v>315</v>
      </c>
      <c r="S2590" s="63"/>
      <c r="T2590" s="63"/>
      <c r="U2590" s="348"/>
      <c r="V2590" s="63"/>
      <c r="W2590" s="63"/>
      <c r="X2590" s="9"/>
    </row>
    <row r="2591" spans="1:24" ht="15">
      <c r="A2591" s="28" t="s">
        <v>736</v>
      </c>
      <c r="B2591" s="63" t="s">
        <v>153</v>
      </c>
      <c r="E2591" s="9" t="s">
        <v>279</v>
      </c>
      <c r="F2591" s="9" t="s">
        <v>279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64"/>
        <v>1229.9499999999966</v>
      </c>
      <c r="S2591" s="28"/>
      <c r="T2591" s="63"/>
      <c r="U2591" s="349"/>
      <c r="V2591" s="63"/>
      <c r="W2591" s="63"/>
      <c r="X2591" s="9"/>
    </row>
    <row r="2592" spans="1:24" ht="15">
      <c r="A2592" s="28" t="s">
        <v>737</v>
      </c>
      <c r="B2592" s="229" t="s">
        <v>1647</v>
      </c>
      <c r="C2592" s="3"/>
      <c r="D2592" s="3"/>
      <c r="E2592" s="9" t="s">
        <v>279</v>
      </c>
      <c r="F2592" s="9" t="s">
        <v>279</v>
      </c>
      <c r="G2592" s="9" t="s">
        <v>279</v>
      </c>
      <c r="H2592" s="9" t="s">
        <v>279</v>
      </c>
      <c r="I2592" s="9">
        <v>0</v>
      </c>
      <c r="J2592" s="217">
        <v>599.45000000000255</v>
      </c>
      <c r="K2592" s="217">
        <v>623.45000000000437</v>
      </c>
      <c r="M2592" s="67">
        <f t="shared" si="64"/>
        <v>1222.9000000000069</v>
      </c>
      <c r="O2592" t="s">
        <v>321</v>
      </c>
      <c r="S2592" s="63"/>
      <c r="T2592" s="63"/>
      <c r="U2592" s="348"/>
      <c r="V2592" s="63"/>
      <c r="W2592" s="63"/>
      <c r="X2592" s="9"/>
    </row>
    <row r="2593" spans="1:24" ht="15">
      <c r="A2593" s="28" t="s">
        <v>739</v>
      </c>
      <c r="B2593" s="63" t="s">
        <v>778</v>
      </c>
      <c r="E2593" s="9" t="s">
        <v>279</v>
      </c>
      <c r="F2593" s="9" t="s">
        <v>279</v>
      </c>
      <c r="G2593" s="9" t="s">
        <v>279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64"/>
        <v>1206.3999999999996</v>
      </c>
      <c r="S2593" s="278"/>
      <c r="T2593" s="63"/>
      <c r="U2593" s="349"/>
      <c r="V2593" s="63"/>
      <c r="W2593" s="63"/>
      <c r="X2593" s="9"/>
    </row>
    <row r="2594" spans="1:24" ht="15">
      <c r="A2594" s="28" t="s">
        <v>745</v>
      </c>
      <c r="B2594" s="63" t="s">
        <v>178</v>
      </c>
      <c r="E2594" s="214">
        <v>873</v>
      </c>
      <c r="F2594" s="9">
        <v>274.8</v>
      </c>
      <c r="G2594" s="9" t="s">
        <v>279</v>
      </c>
      <c r="H2594" s="9" t="s">
        <v>279</v>
      </c>
      <c r="I2594" s="9">
        <v>0</v>
      </c>
      <c r="J2594" s="9" t="s">
        <v>279</v>
      </c>
      <c r="K2594" s="9" t="s">
        <v>279</v>
      </c>
      <c r="L2594" s="69"/>
      <c r="M2594" s="67">
        <f t="shared" si="64"/>
        <v>1147.8</v>
      </c>
      <c r="O2594" t="s">
        <v>282</v>
      </c>
      <c r="R2594" t="s">
        <v>1776</v>
      </c>
      <c r="S2594" s="278"/>
      <c r="T2594" s="63"/>
      <c r="U2594" s="349"/>
      <c r="V2594" s="63"/>
      <c r="W2594" s="63"/>
      <c r="X2594" s="9"/>
    </row>
    <row r="2595" spans="1:24" ht="15">
      <c r="A2595" s="28" t="s">
        <v>747</v>
      </c>
      <c r="B2595" s="63" t="s">
        <v>771</v>
      </c>
      <c r="E2595" s="9" t="s">
        <v>279</v>
      </c>
      <c r="F2595" s="9" t="s">
        <v>279</v>
      </c>
      <c r="G2595" s="9" t="s">
        <v>279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64"/>
        <v>1144.0500000000029</v>
      </c>
      <c r="O2595" t="s">
        <v>298</v>
      </c>
      <c r="S2595" s="225"/>
      <c r="T2595" s="63"/>
      <c r="U2595" s="349"/>
      <c r="V2595" s="63"/>
      <c r="W2595" s="63"/>
      <c r="X2595" s="9"/>
    </row>
    <row r="2596" spans="1:24" ht="15">
      <c r="A2596" s="28" t="s">
        <v>750</v>
      </c>
      <c r="B2596" s="63" t="s">
        <v>779</v>
      </c>
      <c r="E2596" s="9" t="s">
        <v>279</v>
      </c>
      <c r="F2596" s="9" t="s">
        <v>279</v>
      </c>
      <c r="G2596" s="9" t="s">
        <v>279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64"/>
        <v>1113.8499999999967</v>
      </c>
      <c r="S2596" s="63"/>
      <c r="T2596" s="63"/>
      <c r="U2596" s="349"/>
      <c r="V2596" s="63"/>
      <c r="W2596" s="63"/>
      <c r="X2596" s="9"/>
    </row>
    <row r="2597" spans="1:24" ht="15">
      <c r="A2597" s="28" t="s">
        <v>751</v>
      </c>
      <c r="B2597" s="63" t="s">
        <v>762</v>
      </c>
      <c r="E2597" s="9" t="s">
        <v>279</v>
      </c>
      <c r="F2597" s="9" t="s">
        <v>279</v>
      </c>
      <c r="G2597" s="9" t="s">
        <v>279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64"/>
        <v>1102.7000000000053</v>
      </c>
      <c r="S2597" s="63"/>
      <c r="T2597" s="63"/>
      <c r="U2597" s="348"/>
      <c r="V2597" s="63"/>
      <c r="W2597" s="63"/>
      <c r="X2597" s="9"/>
    </row>
    <row r="2598" spans="1:24" ht="15">
      <c r="A2598" s="28" t="s">
        <v>754</v>
      </c>
      <c r="B2598" s="63" t="s">
        <v>158</v>
      </c>
      <c r="E2598" s="9" t="s">
        <v>279</v>
      </c>
      <c r="F2598" s="9" t="s">
        <v>279</v>
      </c>
      <c r="G2598" s="9">
        <v>557.70000000000005</v>
      </c>
      <c r="H2598" s="9">
        <v>504.60000000000036</v>
      </c>
      <c r="I2598" s="9">
        <v>0</v>
      </c>
      <c r="J2598" s="9" t="s">
        <v>279</v>
      </c>
      <c r="K2598" s="9" t="s">
        <v>279</v>
      </c>
      <c r="L2598" s="69"/>
      <c r="M2598" s="67">
        <f t="shared" si="64"/>
        <v>1062.3000000000004</v>
      </c>
      <c r="S2598" s="278"/>
      <c r="T2598" s="63"/>
      <c r="U2598" s="348"/>
      <c r="V2598" s="63"/>
      <c r="W2598" s="63"/>
      <c r="X2598" s="9"/>
    </row>
    <row r="2599" spans="1:24" ht="15">
      <c r="A2599" s="28" t="s">
        <v>756</v>
      </c>
      <c r="B2599" s="63" t="s">
        <v>738</v>
      </c>
      <c r="E2599" s="9" t="s">
        <v>279</v>
      </c>
      <c r="F2599" s="9" t="s">
        <v>279</v>
      </c>
      <c r="G2599" s="9" t="s">
        <v>279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64"/>
        <v>1050.0000000000009</v>
      </c>
      <c r="S2599" s="278"/>
      <c r="T2599" s="63"/>
      <c r="U2599" s="349"/>
      <c r="V2599" s="63"/>
      <c r="W2599" s="63"/>
      <c r="X2599" s="9"/>
    </row>
    <row r="2600" spans="1:24" ht="15">
      <c r="A2600" s="28" t="s">
        <v>761</v>
      </c>
      <c r="B2600" s="63" t="s">
        <v>746</v>
      </c>
      <c r="E2600" s="9" t="s">
        <v>279</v>
      </c>
      <c r="F2600" s="9" t="s">
        <v>279</v>
      </c>
      <c r="G2600" s="9" t="s">
        <v>279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64"/>
        <v>1008.5000000000036</v>
      </c>
      <c r="S2600" s="225"/>
      <c r="T2600" s="63"/>
      <c r="U2600" s="348"/>
      <c r="V2600" s="63"/>
      <c r="W2600" s="63"/>
      <c r="X2600" s="9"/>
    </row>
    <row r="2601" spans="1:24" ht="15">
      <c r="A2601" s="28" t="s">
        <v>765</v>
      </c>
      <c r="B2601" s="63" t="s">
        <v>788</v>
      </c>
      <c r="E2601" s="9" t="s">
        <v>279</v>
      </c>
      <c r="F2601" s="9" t="s">
        <v>279</v>
      </c>
      <c r="G2601" s="9" t="s">
        <v>279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64"/>
        <v>975.49999999999818</v>
      </c>
      <c r="S2601" s="225"/>
      <c r="T2601" s="63"/>
      <c r="U2601" s="348"/>
      <c r="V2601" s="63"/>
      <c r="W2601" s="63"/>
      <c r="X2601" s="9"/>
    </row>
    <row r="2602" spans="1:24" ht="15">
      <c r="A2602" s="28" t="s">
        <v>766</v>
      </c>
      <c r="B2602" s="229" t="s">
        <v>1644</v>
      </c>
      <c r="C2602" s="3"/>
      <c r="D2602" s="3"/>
      <c r="E2602" s="9" t="s">
        <v>279</v>
      </c>
      <c r="F2602" s="9" t="s">
        <v>279</v>
      </c>
      <c r="G2602" s="9" t="s">
        <v>279</v>
      </c>
      <c r="H2602" s="9" t="s">
        <v>279</v>
      </c>
      <c r="I2602" s="9">
        <v>0</v>
      </c>
      <c r="J2602" s="9">
        <v>331.10000000000218</v>
      </c>
      <c r="K2602" s="217">
        <v>629.99999999999818</v>
      </c>
      <c r="M2602" s="67">
        <f t="shared" si="64"/>
        <v>961.10000000000036</v>
      </c>
      <c r="O2602" t="s">
        <v>298</v>
      </c>
      <c r="S2602" s="225"/>
      <c r="T2602" s="63"/>
      <c r="U2602" s="348"/>
      <c r="V2602" s="63"/>
      <c r="W2602" s="63"/>
      <c r="X2602" s="9"/>
    </row>
    <row r="2603" spans="1:24" ht="15">
      <c r="A2603" s="28" t="s">
        <v>767</v>
      </c>
      <c r="B2603" s="63" t="s">
        <v>748</v>
      </c>
      <c r="E2603" s="9" t="s">
        <v>279</v>
      </c>
      <c r="F2603" s="9" t="s">
        <v>279</v>
      </c>
      <c r="G2603" s="9" t="s">
        <v>279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64"/>
        <v>946.49999999999909</v>
      </c>
      <c r="S2603" s="278"/>
      <c r="T2603" s="63"/>
      <c r="U2603" s="349"/>
      <c r="V2603" s="63"/>
      <c r="W2603" s="63"/>
      <c r="X2603" s="9"/>
    </row>
    <row r="2604" spans="1:24" ht="15">
      <c r="A2604" s="28" t="s">
        <v>773</v>
      </c>
      <c r="B2604" s="63" t="s">
        <v>763</v>
      </c>
      <c r="E2604" s="9" t="s">
        <v>279</v>
      </c>
      <c r="F2604" s="9" t="s">
        <v>279</v>
      </c>
      <c r="G2604" s="9" t="s">
        <v>279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64"/>
        <v>878.19999999999527</v>
      </c>
      <c r="S2604" s="63"/>
      <c r="T2604" s="63"/>
      <c r="U2604" s="348"/>
      <c r="V2604" s="63"/>
      <c r="W2604" s="63"/>
      <c r="X2604" s="9"/>
    </row>
    <row r="2605" spans="1:24" ht="15">
      <c r="A2605" s="28" t="s">
        <v>781</v>
      </c>
      <c r="B2605" s="229" t="s">
        <v>1655</v>
      </c>
      <c r="C2605" s="3"/>
      <c r="D2605" s="3"/>
      <c r="E2605" s="9" t="s">
        <v>279</v>
      </c>
      <c r="F2605" s="9" t="s">
        <v>279</v>
      </c>
      <c r="G2605" s="9" t="s">
        <v>279</v>
      </c>
      <c r="H2605" s="9" t="s">
        <v>279</v>
      </c>
      <c r="I2605" s="9">
        <v>0</v>
      </c>
      <c r="J2605" s="217">
        <v>554.79999999999927</v>
      </c>
      <c r="K2605" s="9">
        <v>303.40000000000146</v>
      </c>
      <c r="M2605" s="67">
        <f t="shared" si="64"/>
        <v>858.20000000000073</v>
      </c>
      <c r="O2605" t="s">
        <v>294</v>
      </c>
      <c r="S2605" s="278"/>
      <c r="T2605" s="63"/>
      <c r="U2605" s="348"/>
      <c r="V2605" s="63"/>
      <c r="W2605" s="63"/>
      <c r="X2605" s="9"/>
    </row>
    <row r="2606" spans="1:24" ht="15">
      <c r="A2606" s="28" t="s">
        <v>785</v>
      </c>
      <c r="B2606" s="28" t="s">
        <v>733</v>
      </c>
      <c r="E2606" s="9" t="s">
        <v>279</v>
      </c>
      <c r="F2606" s="9" t="s">
        <v>279</v>
      </c>
      <c r="G2606" s="9" t="s">
        <v>279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64"/>
        <v>842.29999999999745</v>
      </c>
      <c r="S2606" s="63"/>
      <c r="T2606" s="63"/>
      <c r="U2606" s="349"/>
      <c r="V2606" s="63"/>
      <c r="W2606" s="63"/>
      <c r="X2606" s="9"/>
    </row>
    <row r="2607" spans="1:24" ht="15">
      <c r="A2607" s="28" t="s">
        <v>786</v>
      </c>
      <c r="B2607" s="278" t="s">
        <v>2022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9">
        <v>401.94999999999982</v>
      </c>
      <c r="K2607" s="9">
        <v>438.90000000000509</v>
      </c>
      <c r="M2607" s="67">
        <f t="shared" si="64"/>
        <v>840.85000000000491</v>
      </c>
      <c r="S2607" s="63"/>
      <c r="T2607" s="63"/>
      <c r="U2607" s="348"/>
      <c r="V2607" s="63"/>
      <c r="W2607" s="63"/>
      <c r="X2607" s="9"/>
    </row>
    <row r="2608" spans="1:24" ht="15">
      <c r="A2608" s="28" t="s">
        <v>787</v>
      </c>
      <c r="B2608" s="229" t="s">
        <v>1659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278.30000000000109</v>
      </c>
      <c r="K2608" s="9">
        <v>561.29999999999927</v>
      </c>
      <c r="M2608" s="67">
        <f t="shared" si="64"/>
        <v>839.60000000000036</v>
      </c>
      <c r="S2608" s="63"/>
      <c r="T2608" s="63"/>
      <c r="U2608" s="348"/>
      <c r="V2608" s="63"/>
      <c r="W2608" s="63"/>
      <c r="X2608" s="9"/>
    </row>
    <row r="2609" spans="1:24" ht="15">
      <c r="A2609" s="28" t="s">
        <v>793</v>
      </c>
      <c r="B2609" s="229" t="s">
        <v>1652</v>
      </c>
      <c r="C2609" s="3"/>
      <c r="D2609" s="3"/>
      <c r="E2609" s="9" t="s">
        <v>279</v>
      </c>
      <c r="F2609" s="9" t="s">
        <v>279</v>
      </c>
      <c r="G2609" s="9" t="s">
        <v>279</v>
      </c>
      <c r="H2609" s="9" t="s">
        <v>279</v>
      </c>
      <c r="I2609" s="9">
        <v>0</v>
      </c>
      <c r="J2609" s="9">
        <v>428.5</v>
      </c>
      <c r="K2609" s="9">
        <v>393.20000000000073</v>
      </c>
      <c r="M2609" s="67">
        <f t="shared" si="64"/>
        <v>821.70000000000073</v>
      </c>
      <c r="S2609" s="28"/>
      <c r="T2609" s="63"/>
      <c r="U2609" s="348"/>
      <c r="V2609" s="63"/>
      <c r="W2609" s="63"/>
      <c r="X2609" s="9"/>
    </row>
    <row r="2610" spans="1:24" ht="15">
      <c r="A2610" s="28" t="s">
        <v>794</v>
      </c>
      <c r="B2610" s="278" t="s">
        <v>2012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388.79999999999745</v>
      </c>
      <c r="K2610" s="9">
        <v>411.59999999999673</v>
      </c>
      <c r="M2610" s="67">
        <f t="shared" si="64"/>
        <v>800.39999999999418</v>
      </c>
      <c r="S2610" s="63"/>
      <c r="T2610" s="63"/>
      <c r="U2610" s="348"/>
      <c r="V2610" s="63"/>
      <c r="W2610" s="63"/>
      <c r="X2610" s="9"/>
    </row>
    <row r="2611" spans="1:24" ht="15">
      <c r="A2611" s="28" t="s">
        <v>795</v>
      </c>
      <c r="B2611" s="63" t="s">
        <v>782</v>
      </c>
      <c r="E2611" s="9" t="s">
        <v>279</v>
      </c>
      <c r="F2611" s="9" t="s">
        <v>279</v>
      </c>
      <c r="G2611" s="9" t="s">
        <v>279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64"/>
        <v>799.90000000000055</v>
      </c>
      <c r="S2611" s="225"/>
      <c r="T2611" s="63"/>
      <c r="U2611" s="348"/>
      <c r="V2611" s="63"/>
      <c r="W2611" s="63"/>
      <c r="X2611" s="9"/>
    </row>
    <row r="2612" spans="1:24" ht="15">
      <c r="A2612" s="28" t="s">
        <v>797</v>
      </c>
      <c r="B2612" s="28" t="s">
        <v>728</v>
      </c>
      <c r="E2612" s="9" t="s">
        <v>279</v>
      </c>
      <c r="F2612" s="9" t="s">
        <v>279</v>
      </c>
      <c r="G2612" s="9" t="s">
        <v>279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64"/>
        <v>799.00000000000091</v>
      </c>
      <c r="S2612" s="63"/>
      <c r="T2612" s="63"/>
      <c r="U2612" s="348"/>
      <c r="V2612" s="63"/>
      <c r="W2612" s="63"/>
      <c r="X2612" s="9"/>
    </row>
    <row r="2613" spans="1:24" ht="15">
      <c r="A2613" s="28" t="s">
        <v>798</v>
      </c>
      <c r="B2613" s="63" t="s">
        <v>796</v>
      </c>
      <c r="E2613" s="9" t="s">
        <v>279</v>
      </c>
      <c r="F2613" s="9" t="s">
        <v>279</v>
      </c>
      <c r="G2613" s="9" t="s">
        <v>279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64"/>
        <v>751.00000000000364</v>
      </c>
      <c r="S2613" s="278"/>
      <c r="T2613" s="63"/>
      <c r="U2613" s="349"/>
      <c r="V2613" s="63"/>
      <c r="W2613" s="63"/>
      <c r="X2613" s="9"/>
    </row>
    <row r="2614" spans="1:24" ht="15">
      <c r="A2614" s="28" t="s">
        <v>799</v>
      </c>
      <c r="B2614" s="63" t="s">
        <v>757</v>
      </c>
      <c r="E2614" s="9" t="s">
        <v>279</v>
      </c>
      <c r="F2614" s="9" t="s">
        <v>279</v>
      </c>
      <c r="G2614" s="9" t="s">
        <v>279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64"/>
        <v>745.69999999999254</v>
      </c>
      <c r="S2614" s="63"/>
      <c r="T2614" s="63"/>
      <c r="U2614" s="348"/>
      <c r="V2614" s="63"/>
      <c r="W2614" s="63"/>
      <c r="X2614" s="9"/>
    </row>
    <row r="2615" spans="1:24" ht="15">
      <c r="A2615" s="28" t="s">
        <v>802</v>
      </c>
      <c r="B2615" s="278" t="s">
        <v>2013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385.25000000000182</v>
      </c>
      <c r="K2615" s="9">
        <v>345.19999999999709</v>
      </c>
      <c r="M2615" s="67">
        <f t="shared" si="64"/>
        <v>730.44999999999891</v>
      </c>
      <c r="S2615" s="63"/>
      <c r="T2615" s="63"/>
      <c r="U2615" s="349"/>
      <c r="V2615" s="63"/>
      <c r="W2615" s="63"/>
      <c r="X2615" s="9"/>
    </row>
    <row r="2616" spans="1:24" ht="15">
      <c r="A2616" s="28" t="s">
        <v>896</v>
      </c>
      <c r="B2616" s="278" t="s">
        <v>2014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275.20000000000073</v>
      </c>
      <c r="K2616" s="9">
        <v>409.90000000000146</v>
      </c>
      <c r="M2616" s="67">
        <f t="shared" si="64"/>
        <v>685.10000000000218</v>
      </c>
      <c r="S2616" s="278"/>
      <c r="T2616" s="63"/>
      <c r="U2616" s="349"/>
      <c r="V2616" s="63"/>
      <c r="W2616" s="63"/>
      <c r="X2616" s="9"/>
    </row>
    <row r="2617" spans="1:24" ht="15">
      <c r="A2617" s="28" t="s">
        <v>897</v>
      </c>
      <c r="B2617" s="278" t="s">
        <v>2015</v>
      </c>
      <c r="C2617" s="3"/>
      <c r="D2617" s="3"/>
      <c r="E2617" s="9" t="s">
        <v>279</v>
      </c>
      <c r="F2617" s="9" t="s">
        <v>279</v>
      </c>
      <c r="G2617" s="9" t="s">
        <v>279</v>
      </c>
      <c r="H2617" s="9" t="s">
        <v>279</v>
      </c>
      <c r="I2617" s="9">
        <v>0</v>
      </c>
      <c r="J2617" s="9">
        <v>454.29999999999745</v>
      </c>
      <c r="K2617" s="9">
        <v>217.10000000000127</v>
      </c>
      <c r="M2617" s="67">
        <f t="shared" si="64"/>
        <v>671.39999999999873</v>
      </c>
      <c r="S2617" s="278"/>
      <c r="T2617" s="63"/>
      <c r="U2617" s="348"/>
      <c r="V2617" s="63"/>
      <c r="W2617" s="63"/>
      <c r="X2617" s="9"/>
    </row>
    <row r="2618" spans="1:24" ht="15">
      <c r="A2618" s="28" t="s">
        <v>898</v>
      </c>
      <c r="B2618" s="229" t="s">
        <v>1657</v>
      </c>
      <c r="C2618" s="3"/>
      <c r="D2618" s="3"/>
      <c r="E2618" s="9" t="s">
        <v>279</v>
      </c>
      <c r="F2618" s="9" t="s">
        <v>279</v>
      </c>
      <c r="G2618" s="9" t="s">
        <v>279</v>
      </c>
      <c r="H2618" s="9" t="s">
        <v>279</v>
      </c>
      <c r="I2618" s="9">
        <v>0</v>
      </c>
      <c r="J2618" s="9">
        <v>337.10000000000036</v>
      </c>
      <c r="K2618" s="9">
        <v>328.50000000000273</v>
      </c>
      <c r="M2618" s="67">
        <f t="shared" si="64"/>
        <v>665.60000000000309</v>
      </c>
      <c r="S2618" s="63"/>
      <c r="T2618" s="63"/>
      <c r="U2618" s="349"/>
      <c r="V2618" s="63"/>
      <c r="W2618" s="63"/>
      <c r="X2618" s="9"/>
    </row>
    <row r="2619" spans="1:24" ht="15">
      <c r="A2619" s="28" t="s">
        <v>899</v>
      </c>
      <c r="B2619" s="278" t="s">
        <v>2007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217">
        <v>565.80000000000018</v>
      </c>
      <c r="K2619" s="9">
        <v>91.799999999999272</v>
      </c>
      <c r="M2619" s="67">
        <f t="shared" si="64"/>
        <v>657.59999999999945</v>
      </c>
      <c r="O2619" t="s">
        <v>289</v>
      </c>
      <c r="S2619" s="278"/>
      <c r="T2619" s="63"/>
      <c r="U2619" s="349"/>
      <c r="V2619" s="63"/>
      <c r="W2619" s="63"/>
      <c r="X2619" s="9"/>
    </row>
    <row r="2620" spans="1:24" ht="15">
      <c r="A2620" s="28" t="s">
        <v>900</v>
      </c>
      <c r="B2620" s="278" t="s">
        <v>2010</v>
      </c>
      <c r="C2620" s="3"/>
      <c r="D2620" s="3"/>
      <c r="E2620" s="9" t="s">
        <v>279</v>
      </c>
      <c r="F2620" s="9" t="s">
        <v>279</v>
      </c>
      <c r="G2620" s="9" t="s">
        <v>279</v>
      </c>
      <c r="H2620" s="9" t="s">
        <v>279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65">SUM(E2620:K2620)</f>
        <v>643.49999999999272</v>
      </c>
      <c r="S2620" s="278"/>
      <c r="T2620" s="63"/>
      <c r="U2620" s="348"/>
      <c r="V2620" s="63"/>
      <c r="W2620" s="63"/>
      <c r="X2620" s="9"/>
    </row>
    <row r="2621" spans="1:24" ht="15">
      <c r="A2621" s="28" t="s">
        <v>901</v>
      </c>
      <c r="B2621" s="229" t="s">
        <v>1653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>
        <v>392.80000000000291</v>
      </c>
      <c r="K2621" s="9">
        <v>250.19999999999891</v>
      </c>
      <c r="M2621" s="67">
        <f t="shared" si="65"/>
        <v>643.00000000000182</v>
      </c>
      <c r="S2621" s="278"/>
      <c r="T2621" s="63"/>
      <c r="U2621" s="348"/>
      <c r="V2621" s="63"/>
      <c r="W2621" s="63"/>
      <c r="X2621" s="9"/>
    </row>
    <row r="2622" spans="1:24" ht="15">
      <c r="A2622" s="28" t="s">
        <v>902</v>
      </c>
      <c r="B2622" s="229" t="s">
        <v>1643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>
        <v>257.70000000000073</v>
      </c>
      <c r="K2622" s="9">
        <v>348.40000000000055</v>
      </c>
      <c r="M2622" s="67">
        <f t="shared" si="65"/>
        <v>606.10000000000127</v>
      </c>
      <c r="S2622" s="63"/>
      <c r="T2622" s="63"/>
      <c r="U2622" s="348"/>
      <c r="V2622" s="63"/>
      <c r="W2622" s="63"/>
      <c r="X2622" s="9"/>
    </row>
    <row r="2623" spans="1:24" ht="15">
      <c r="A2623" s="28" t="s">
        <v>903</v>
      </c>
      <c r="B2623" s="278" t="s">
        <v>2006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>
        <v>152.80000000000473</v>
      </c>
      <c r="K2623" s="9">
        <v>411.10000000000036</v>
      </c>
      <c r="M2623" s="67">
        <f t="shared" si="65"/>
        <v>563.90000000000509</v>
      </c>
      <c r="S2623" s="63"/>
      <c r="T2623" s="63"/>
      <c r="U2623" s="348"/>
      <c r="V2623" s="63"/>
      <c r="W2623" s="63"/>
      <c r="X2623" s="9"/>
    </row>
    <row r="2624" spans="1:24" ht="15">
      <c r="A2624" s="28" t="s">
        <v>904</v>
      </c>
      <c r="B2624" s="63" t="s">
        <v>755</v>
      </c>
      <c r="E2624" s="9" t="s">
        <v>279</v>
      </c>
      <c r="F2624" s="9" t="s">
        <v>279</v>
      </c>
      <c r="G2624" s="9" t="s">
        <v>279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65"/>
        <v>560.90000000000418</v>
      </c>
      <c r="S2624" s="63"/>
      <c r="T2624" s="63"/>
      <c r="U2624" s="349"/>
      <c r="V2624" s="63"/>
      <c r="W2624" s="63"/>
      <c r="X2624" s="9"/>
    </row>
    <row r="2625" spans="1:24" ht="15">
      <c r="A2625" s="28" t="s">
        <v>905</v>
      </c>
      <c r="B2625" s="63" t="s">
        <v>164</v>
      </c>
      <c r="E2625" s="9" t="s">
        <v>279</v>
      </c>
      <c r="F2625" s="9" t="s">
        <v>279</v>
      </c>
      <c r="G2625" s="9">
        <v>559.20000000000005</v>
      </c>
      <c r="H2625" s="9" t="s">
        <v>279</v>
      </c>
      <c r="I2625" s="9">
        <v>0</v>
      </c>
      <c r="J2625" s="9" t="s">
        <v>279</v>
      </c>
      <c r="K2625" s="9" t="s">
        <v>279</v>
      </c>
      <c r="L2625" s="69"/>
      <c r="M2625" s="67">
        <f t="shared" si="65"/>
        <v>559.20000000000005</v>
      </c>
      <c r="S2625" s="278"/>
      <c r="T2625" s="63"/>
      <c r="U2625" s="348"/>
      <c r="V2625" s="63"/>
      <c r="W2625" s="63"/>
      <c r="X2625" s="9"/>
    </row>
    <row r="2626" spans="1:24" ht="15">
      <c r="A2626" s="28" t="s">
        <v>906</v>
      </c>
      <c r="B2626" s="278" t="s">
        <v>2033</v>
      </c>
      <c r="C2626" s="3"/>
      <c r="D2626" s="3"/>
      <c r="E2626" s="9" t="s">
        <v>279</v>
      </c>
      <c r="F2626" s="9" t="s">
        <v>279</v>
      </c>
      <c r="G2626" s="9" t="s">
        <v>279</v>
      </c>
      <c r="H2626" s="9" t="s">
        <v>279</v>
      </c>
      <c r="I2626" s="9">
        <v>0</v>
      </c>
      <c r="J2626" s="9" t="s">
        <v>279</v>
      </c>
      <c r="K2626" s="9">
        <v>557.39999999999782</v>
      </c>
      <c r="M2626" s="67">
        <f t="shared" si="65"/>
        <v>557.39999999999782</v>
      </c>
      <c r="S2626" s="278"/>
      <c r="T2626" s="63"/>
      <c r="U2626" s="348"/>
      <c r="V2626" s="63"/>
      <c r="W2626" s="63"/>
      <c r="X2626" s="9"/>
    </row>
    <row r="2627" spans="1:24" ht="15">
      <c r="A2627" s="28" t="s">
        <v>907</v>
      </c>
      <c r="B2627" s="278" t="s">
        <v>4520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550.20000000000437</v>
      </c>
      <c r="M2627" s="67">
        <f t="shared" si="65"/>
        <v>550.20000000000437</v>
      </c>
      <c r="S2627" s="28"/>
      <c r="T2627" s="63"/>
      <c r="U2627" s="348"/>
      <c r="V2627" s="63"/>
      <c r="W2627" s="63"/>
      <c r="X2627" s="9"/>
    </row>
    <row r="2628" spans="1:24" ht="15">
      <c r="A2628" s="28" t="s">
        <v>908</v>
      </c>
      <c r="B2628" s="278" t="s">
        <v>2027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 t="s">
        <v>279</v>
      </c>
      <c r="K2628" s="9">
        <v>537.49999999999818</v>
      </c>
      <c r="M2628" s="67">
        <f t="shared" si="65"/>
        <v>537.49999999999818</v>
      </c>
      <c r="S2628" s="225"/>
      <c r="T2628" s="63"/>
      <c r="U2628" s="348"/>
      <c r="V2628" s="63"/>
      <c r="W2628" s="63"/>
      <c r="X2628" s="9"/>
    </row>
    <row r="2629" spans="1:24" ht="15">
      <c r="A2629" s="28" t="s">
        <v>909</v>
      </c>
      <c r="B2629" s="278" t="s">
        <v>2057</v>
      </c>
      <c r="C2629" s="3"/>
      <c r="D2629" s="3"/>
      <c r="E2629" s="9" t="s">
        <v>279</v>
      </c>
      <c r="F2629" s="9" t="s">
        <v>279</v>
      </c>
      <c r="G2629" s="9" t="s">
        <v>279</v>
      </c>
      <c r="H2629" s="9" t="s">
        <v>279</v>
      </c>
      <c r="I2629" s="9">
        <v>0</v>
      </c>
      <c r="J2629" s="9" t="s">
        <v>279</v>
      </c>
      <c r="K2629" s="9">
        <v>534.39999999999873</v>
      </c>
      <c r="M2629" s="67">
        <f t="shared" si="65"/>
        <v>534.39999999999873</v>
      </c>
      <c r="S2629" s="278"/>
      <c r="T2629" s="63"/>
      <c r="U2629" s="348"/>
      <c r="V2629" s="63"/>
      <c r="W2629" s="63"/>
      <c r="X2629" s="9"/>
    </row>
    <row r="2630" spans="1:24" ht="15">
      <c r="A2630" s="28" t="s">
        <v>910</v>
      </c>
      <c r="B2630" s="278" t="s">
        <v>2161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 t="s">
        <v>279</v>
      </c>
      <c r="K2630" s="9">
        <v>521</v>
      </c>
      <c r="M2630" s="67">
        <f t="shared" si="65"/>
        <v>521</v>
      </c>
      <c r="S2630" s="278"/>
      <c r="T2630" s="63"/>
      <c r="U2630" s="348"/>
      <c r="V2630" s="63"/>
      <c r="W2630" s="63"/>
      <c r="X2630" s="9"/>
    </row>
    <row r="2631" spans="1:24" ht="15">
      <c r="A2631" s="28" t="s">
        <v>911</v>
      </c>
      <c r="B2631" s="229" t="s">
        <v>1654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9">
        <v>238.09999999999854</v>
      </c>
      <c r="K2631" s="9">
        <v>273.20000000000164</v>
      </c>
      <c r="M2631" s="67">
        <f t="shared" si="65"/>
        <v>511.30000000000018</v>
      </c>
      <c r="S2631" s="28"/>
      <c r="T2631" s="63"/>
      <c r="U2631" s="348"/>
      <c r="V2631" s="63"/>
      <c r="W2631" s="63"/>
      <c r="X2631" s="9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65"/>
        <v>505.39999999999873</v>
      </c>
      <c r="S2632" s="225"/>
      <c r="T2632" s="63"/>
      <c r="U2632" s="348"/>
      <c r="V2632" s="63"/>
      <c r="W2632" s="63"/>
      <c r="X2632" s="9"/>
    </row>
    <row r="2633" spans="1:24" ht="15">
      <c r="A2633" s="28" t="s">
        <v>913</v>
      </c>
      <c r="B2633" s="229" t="s">
        <v>1660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302.29999999999927</v>
      </c>
      <c r="K2633" s="9">
        <v>201.79999999999745</v>
      </c>
      <c r="M2633" s="67">
        <f t="shared" si="65"/>
        <v>504.09999999999673</v>
      </c>
      <c r="S2633" s="63"/>
      <c r="T2633" s="63"/>
      <c r="U2633" s="348"/>
      <c r="V2633" s="63"/>
      <c r="W2633" s="63"/>
      <c r="X2633" s="9"/>
    </row>
    <row r="2634" spans="1:24" ht="15">
      <c r="A2634" s="28" t="s">
        <v>914</v>
      </c>
      <c r="B2634" s="278" t="s">
        <v>2032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499.60000000000036</v>
      </c>
      <c r="M2634" s="67">
        <f t="shared" si="65"/>
        <v>499.60000000000036</v>
      </c>
      <c r="S2634" s="63"/>
      <c r="T2634" s="63"/>
      <c r="U2634" s="348"/>
      <c r="V2634" s="63"/>
      <c r="W2634" s="63"/>
      <c r="X2634" s="9"/>
    </row>
    <row r="2635" spans="1:24" ht="15">
      <c r="A2635" s="28" t="s">
        <v>915</v>
      </c>
      <c r="B2635" s="278" t="s">
        <v>2029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 t="s">
        <v>279</v>
      </c>
      <c r="K2635" s="9">
        <v>441.600000000004</v>
      </c>
      <c r="M2635" s="67">
        <f t="shared" si="65"/>
        <v>441.600000000004</v>
      </c>
      <c r="S2635" s="278"/>
      <c r="T2635" s="63"/>
      <c r="U2635" s="348"/>
      <c r="V2635" s="63"/>
      <c r="W2635" s="63"/>
      <c r="X2635" s="9"/>
    </row>
    <row r="2636" spans="1:24" ht="15">
      <c r="A2636" s="28" t="s">
        <v>916</v>
      </c>
      <c r="B2636" s="278" t="s">
        <v>2030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439.60000000000127</v>
      </c>
      <c r="M2636" s="67">
        <f t="shared" si="65"/>
        <v>439.60000000000127</v>
      </c>
    </row>
    <row r="2637" spans="1:24" ht="15">
      <c r="A2637" s="28" t="s">
        <v>917</v>
      </c>
      <c r="B2637" s="278" t="s">
        <v>2031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422.80000000000018</v>
      </c>
      <c r="M2637" s="67">
        <f t="shared" si="65"/>
        <v>422.80000000000018</v>
      </c>
    </row>
    <row r="2638" spans="1:24" ht="15">
      <c r="A2638" s="28" t="s">
        <v>918</v>
      </c>
      <c r="B2638" s="63" t="s">
        <v>774</v>
      </c>
      <c r="E2638" s="9" t="s">
        <v>279</v>
      </c>
      <c r="F2638" s="9" t="s">
        <v>279</v>
      </c>
      <c r="G2638" s="9" t="s">
        <v>279</v>
      </c>
      <c r="H2638" s="9">
        <v>399.30000000000018</v>
      </c>
      <c r="I2638" s="9">
        <v>0</v>
      </c>
      <c r="J2638" s="9" t="s">
        <v>279</v>
      </c>
      <c r="K2638" s="9" t="s">
        <v>279</v>
      </c>
      <c r="L2638" s="69"/>
      <c r="M2638" s="67">
        <f t="shared" si="65"/>
        <v>399.30000000000018</v>
      </c>
    </row>
    <row r="2639" spans="1:24" ht="15">
      <c r="A2639" s="28" t="s">
        <v>919</v>
      </c>
      <c r="B2639" s="229" t="s">
        <v>1656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>
        <v>267.20000000000073</v>
      </c>
      <c r="K2639" s="9">
        <v>120.19999999999891</v>
      </c>
      <c r="M2639" s="67">
        <f t="shared" si="65"/>
        <v>387.39999999999964</v>
      </c>
    </row>
    <row r="2640" spans="1:24" ht="15">
      <c r="A2640" s="28" t="s">
        <v>920</v>
      </c>
      <c r="B2640" s="278" t="s">
        <v>2056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379.199999999998</v>
      </c>
      <c r="M2640" s="67">
        <f t="shared" si="65"/>
        <v>379.199999999998</v>
      </c>
    </row>
    <row r="2641" spans="1:13" ht="15">
      <c r="A2641" s="28" t="s">
        <v>921</v>
      </c>
      <c r="B2641" s="278" t="s">
        <v>2011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>
        <v>255.89999999999873</v>
      </c>
      <c r="K2641" s="9">
        <v>111.89999999999964</v>
      </c>
      <c r="M2641" s="67">
        <f t="shared" si="65"/>
        <v>367.79999999999836</v>
      </c>
    </row>
    <row r="2642" spans="1:13" ht="15">
      <c r="A2642" s="28" t="s">
        <v>922</v>
      </c>
      <c r="B2642" s="278" t="s">
        <v>2054</v>
      </c>
      <c r="C2642" s="3"/>
      <c r="D2642" s="3"/>
      <c r="E2642" s="9" t="s">
        <v>279</v>
      </c>
      <c r="F2642" s="9" t="s">
        <v>279</v>
      </c>
      <c r="G2642" s="9" t="s">
        <v>279</v>
      </c>
      <c r="H2642" s="9" t="s">
        <v>279</v>
      </c>
      <c r="I2642" s="9">
        <v>0</v>
      </c>
      <c r="J2642" s="9" t="s">
        <v>279</v>
      </c>
      <c r="K2642" s="9">
        <v>365.70000000000073</v>
      </c>
      <c r="M2642" s="67">
        <f t="shared" si="65"/>
        <v>365.70000000000073</v>
      </c>
    </row>
    <row r="2643" spans="1:13" ht="15">
      <c r="A2643" s="28" t="s">
        <v>923</v>
      </c>
      <c r="B2643" s="229" t="s">
        <v>1645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>
        <v>356.70000000000073</v>
      </c>
      <c r="K2643" s="9" t="s">
        <v>279</v>
      </c>
      <c r="M2643" s="67">
        <f t="shared" si="65"/>
        <v>356.70000000000073</v>
      </c>
    </row>
    <row r="2644" spans="1:13" ht="15">
      <c r="A2644" s="28" t="s">
        <v>924</v>
      </c>
      <c r="B2644" s="63" t="s">
        <v>179</v>
      </c>
      <c r="E2644" s="9">
        <v>345.2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 t="s">
        <v>279</v>
      </c>
      <c r="K2644" s="9" t="s">
        <v>279</v>
      </c>
      <c r="L2644" s="69"/>
      <c r="M2644" s="67">
        <f t="shared" si="65"/>
        <v>345.2</v>
      </c>
    </row>
    <row r="2645" spans="1:13" ht="15">
      <c r="A2645" s="28" t="s">
        <v>925</v>
      </c>
      <c r="B2645" s="63" t="s">
        <v>744</v>
      </c>
      <c r="E2645" s="9" t="s">
        <v>279</v>
      </c>
      <c r="F2645" s="9" t="s">
        <v>279</v>
      </c>
      <c r="G2645" s="9" t="s">
        <v>279</v>
      </c>
      <c r="H2645" s="9">
        <v>327.60000000000218</v>
      </c>
      <c r="I2645" s="9">
        <v>0</v>
      </c>
      <c r="J2645" s="9" t="s">
        <v>279</v>
      </c>
      <c r="K2645" s="9" t="s">
        <v>279</v>
      </c>
      <c r="L2645" s="69"/>
      <c r="M2645" s="67">
        <f t="shared" si="65"/>
        <v>327.60000000000218</v>
      </c>
    </row>
    <row r="2646" spans="1:13" ht="15">
      <c r="A2646" s="28" t="s">
        <v>926</v>
      </c>
      <c r="B2646" s="278" t="s">
        <v>2028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297.49999999999636</v>
      </c>
      <c r="M2646" s="67">
        <f t="shared" si="65"/>
        <v>297.49999999999636</v>
      </c>
    </row>
    <row r="2647" spans="1:13" ht="15">
      <c r="A2647" s="28" t="s">
        <v>927</v>
      </c>
      <c r="B2647" s="63" t="s">
        <v>769</v>
      </c>
      <c r="E2647" s="9" t="s">
        <v>279</v>
      </c>
      <c r="F2647" s="9" t="s">
        <v>279</v>
      </c>
      <c r="G2647" s="9" t="s">
        <v>279</v>
      </c>
      <c r="H2647" s="9">
        <v>283.00000000000364</v>
      </c>
      <c r="I2647" s="9">
        <v>0</v>
      </c>
      <c r="J2647" s="9" t="s">
        <v>279</v>
      </c>
      <c r="K2647" s="9" t="s">
        <v>279</v>
      </c>
      <c r="L2647" s="69"/>
      <c r="M2647" s="67">
        <f t="shared" si="65"/>
        <v>283.00000000000364</v>
      </c>
    </row>
    <row r="2648" spans="1:13" ht="15">
      <c r="A2648" s="28" t="s">
        <v>928</v>
      </c>
      <c r="B2648" s="278" t="s">
        <v>2008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>
        <v>279.30000000000109</v>
      </c>
      <c r="K2648" s="9" t="s">
        <v>279</v>
      </c>
      <c r="M2648" s="67">
        <f t="shared" si="65"/>
        <v>279.30000000000109</v>
      </c>
    </row>
    <row r="2649" spans="1:13" ht="15">
      <c r="A2649" s="28" t="s">
        <v>929</v>
      </c>
      <c r="B2649" s="63" t="s">
        <v>784</v>
      </c>
      <c r="E2649" s="9" t="s">
        <v>279</v>
      </c>
      <c r="F2649" s="9" t="s">
        <v>279</v>
      </c>
      <c r="G2649" s="9" t="s">
        <v>279</v>
      </c>
      <c r="H2649" s="9">
        <v>147.59999999999854</v>
      </c>
      <c r="I2649" s="9">
        <v>0</v>
      </c>
      <c r="J2649" s="9" t="s">
        <v>279</v>
      </c>
      <c r="K2649" s="9" t="s">
        <v>279</v>
      </c>
      <c r="L2649" s="69"/>
      <c r="M2649" s="67">
        <f t="shared" si="65"/>
        <v>147.59999999999854</v>
      </c>
    </row>
    <row r="2650" spans="1:13" ht="15">
      <c r="A2650" s="28" t="s">
        <v>930</v>
      </c>
      <c r="B2650" s="278" t="s">
        <v>2034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>
        <v>124.09999999999854</v>
      </c>
      <c r="M2650" s="67">
        <f t="shared" si="65"/>
        <v>124.09999999999854</v>
      </c>
    </row>
    <row r="2651" spans="1:13" ht="15">
      <c r="A2651" s="28" t="s">
        <v>931</v>
      </c>
      <c r="B2651" s="225" t="s">
        <v>1641</v>
      </c>
      <c r="C2651" s="3"/>
      <c r="D2651" s="3"/>
      <c r="E2651" s="9" t="s">
        <v>279</v>
      </c>
      <c r="F2651" s="9" t="s">
        <v>279</v>
      </c>
      <c r="G2651" s="9" t="s">
        <v>279</v>
      </c>
      <c r="H2651" s="9" t="s">
        <v>279</v>
      </c>
      <c r="I2651" s="9">
        <v>0</v>
      </c>
      <c r="J2651" s="9" t="s">
        <v>279</v>
      </c>
      <c r="K2651" s="9" t="s">
        <v>279</v>
      </c>
      <c r="L2651" s="69"/>
      <c r="M2651" s="67">
        <f t="shared" si="65"/>
        <v>0</v>
      </c>
    </row>
    <row r="2652" spans="1:13" ht="15">
      <c r="A2652" s="28" t="s">
        <v>932</v>
      </c>
      <c r="B2652" s="229" t="s">
        <v>1651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69"/>
      <c r="M2652" s="67">
        <f t="shared" si="65"/>
        <v>0</v>
      </c>
    </row>
    <row r="2653" spans="1:13" ht="15">
      <c r="A2653" s="28" t="s">
        <v>933</v>
      </c>
      <c r="B2653" s="229" t="s">
        <v>1650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 t="s">
        <v>279</v>
      </c>
      <c r="K2653" s="9" t="s">
        <v>279</v>
      </c>
      <c r="L2653" s="69"/>
      <c r="M2653" s="67">
        <f t="shared" si="65"/>
        <v>0</v>
      </c>
    </row>
    <row r="2654" spans="1:13" ht="15">
      <c r="A2654" s="28" t="s">
        <v>934</v>
      </c>
      <c r="B2654" s="229" t="s">
        <v>1648</v>
      </c>
      <c r="C2654" s="3"/>
      <c r="D2654" s="3"/>
      <c r="E2654" s="9" t="s">
        <v>279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69"/>
      <c r="M2654" s="67">
        <f t="shared" si="65"/>
        <v>0</v>
      </c>
    </row>
    <row r="2655" spans="1:13" ht="15">
      <c r="A2655" s="28" t="s">
        <v>935</v>
      </c>
      <c r="B2655" s="229" t="s">
        <v>1676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69"/>
      <c r="M2655" s="67">
        <f t="shared" si="65"/>
        <v>0</v>
      </c>
    </row>
    <row r="2656" spans="1:13" ht="15">
      <c r="A2656" s="28" t="s">
        <v>2505</v>
      </c>
      <c r="B2656" s="229" t="s">
        <v>1658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M2656" s="67">
        <f t="shared" si="65"/>
        <v>0</v>
      </c>
    </row>
    <row r="2657" spans="1:13" ht="15">
      <c r="A2657" s="28" t="s">
        <v>3323</v>
      </c>
      <c r="B2657" s="63" t="s">
        <v>3385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3324</v>
      </c>
      <c r="B2658" s="63" t="s">
        <v>3379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3325</v>
      </c>
      <c r="B2659" s="63" t="s">
        <v>3378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3326</v>
      </c>
      <c r="B2660" s="63" t="s">
        <v>3394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3327</v>
      </c>
      <c r="B2661" s="63" t="s">
        <v>3393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3328</v>
      </c>
      <c r="B2662" s="63" t="s">
        <v>3381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3329</v>
      </c>
      <c r="B2663" s="63" t="s">
        <v>3375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3330</v>
      </c>
      <c r="B2664" s="63" t="s">
        <v>3406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3331</v>
      </c>
      <c r="B2665" s="278" t="s">
        <v>3374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3332</v>
      </c>
      <c r="B2666" s="63" t="s">
        <v>3390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3333</v>
      </c>
      <c r="B2667" s="63" t="s">
        <v>3387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3334</v>
      </c>
      <c r="B2668" s="63" t="s">
        <v>3402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3335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3336</v>
      </c>
      <c r="B2670" s="63" t="s">
        <v>3403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3337</v>
      </c>
      <c r="B2671" s="63" t="s">
        <v>3382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3338</v>
      </c>
      <c r="B2672" s="63" t="s">
        <v>3376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3339</v>
      </c>
      <c r="B2673" s="63" t="s">
        <v>3383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3340</v>
      </c>
      <c r="B2674" s="63" t="s">
        <v>3380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3341</v>
      </c>
      <c r="B2675" s="63" t="s">
        <v>3391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3342</v>
      </c>
      <c r="B2676" s="63" t="s">
        <v>3386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3343</v>
      </c>
      <c r="B2677" s="278" t="s">
        <v>3373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3344</v>
      </c>
      <c r="B2678" s="63" t="s">
        <v>3388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3345</v>
      </c>
      <c r="B2679" s="63" t="s">
        <v>3407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3346</v>
      </c>
      <c r="B2680" s="63" t="s">
        <v>3377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4138</v>
      </c>
      <c r="B2681" s="63" t="s">
        <v>3384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4139</v>
      </c>
      <c r="B2682" s="63" t="s">
        <v>3405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4140</v>
      </c>
      <c r="B2683" s="63" t="s">
        <v>3389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198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6">SUM(E2690:K2690)</f>
        <v>1435.5500000000015</v>
      </c>
      <c r="O2690" t="s">
        <v>2664</v>
      </c>
      <c r="R2690" s="21" t="s">
        <v>1777</v>
      </c>
      <c r="S2690" s="278"/>
      <c r="T2690" s="63"/>
      <c r="U2690" s="348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6"/>
        <v>1244.1000000000035</v>
      </c>
      <c r="O2691" t="s">
        <v>1314</v>
      </c>
      <c r="R2691" t="s">
        <v>1778</v>
      </c>
      <c r="S2691" s="225"/>
      <c r="T2691" s="63"/>
      <c r="U2691" s="348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6"/>
        <v>1198.4499999999939</v>
      </c>
      <c r="O2692" t="s">
        <v>317</v>
      </c>
      <c r="S2692" s="63"/>
      <c r="T2692" s="63"/>
      <c r="U2692" s="349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6"/>
        <v>1131.6999999999916</v>
      </c>
      <c r="O2693" t="s">
        <v>290</v>
      </c>
      <c r="S2693" s="278"/>
      <c r="T2693" s="63"/>
      <c r="U2693" s="348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6"/>
        <v>1108.8000000000036</v>
      </c>
      <c r="O2694" t="s">
        <v>302</v>
      </c>
      <c r="R2694" t="s">
        <v>1778</v>
      </c>
      <c r="S2694" s="225"/>
      <c r="T2694" s="63"/>
      <c r="U2694" s="348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6"/>
        <v>1091.0999999999894</v>
      </c>
      <c r="O2695" t="s">
        <v>319</v>
      </c>
      <c r="S2695" s="225"/>
      <c r="T2695" s="63"/>
      <c r="U2695" s="348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6"/>
        <v>1047.9000000000028</v>
      </c>
      <c r="O2696" t="s">
        <v>301</v>
      </c>
      <c r="S2696" s="278"/>
      <c r="T2696" s="63"/>
      <c r="U2696" s="348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6"/>
        <v>1000.15</v>
      </c>
      <c r="O2697" t="s">
        <v>305</v>
      </c>
      <c r="S2697" s="278"/>
      <c r="T2697" s="63"/>
      <c r="U2697" s="348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6"/>
        <v>971.19999999999891</v>
      </c>
      <c r="O2698" t="s">
        <v>870</v>
      </c>
      <c r="S2698" s="278"/>
      <c r="T2698" s="63"/>
      <c r="U2698" s="348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66"/>
        <v>969.45000000000732</v>
      </c>
      <c r="O2699" t="s">
        <v>374</v>
      </c>
      <c r="S2699" s="225"/>
      <c r="T2699" s="63"/>
      <c r="U2699" s="349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66"/>
        <v>969.30000000000086</v>
      </c>
      <c r="O2700" t="s">
        <v>360</v>
      </c>
      <c r="R2700" t="s">
        <v>1777</v>
      </c>
      <c r="S2700" s="63"/>
      <c r="T2700" s="63"/>
      <c r="U2700" s="348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6"/>
        <v>899.30000000000291</v>
      </c>
      <c r="O2701" t="s">
        <v>298</v>
      </c>
      <c r="S2701" s="278"/>
      <c r="T2701" s="63"/>
      <c r="U2701" s="348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6"/>
        <v>873.35000000000878</v>
      </c>
      <c r="O2702" t="s">
        <v>345</v>
      </c>
      <c r="S2702" s="63"/>
      <c r="T2702" s="63"/>
      <c r="U2702" s="348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6"/>
        <v>855.699999999998</v>
      </c>
      <c r="O2703" t="s">
        <v>340</v>
      </c>
      <c r="S2703" s="278"/>
      <c r="T2703" s="63"/>
      <c r="U2703" s="349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6"/>
        <v>838.100000000004</v>
      </c>
      <c r="O2704" t="s">
        <v>2665</v>
      </c>
      <c r="S2704" s="63"/>
      <c r="T2704" s="63"/>
      <c r="U2704" s="348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6"/>
        <v>812.35</v>
      </c>
      <c r="O2705" t="s">
        <v>288</v>
      </c>
      <c r="S2705" s="278"/>
      <c r="T2705" s="63"/>
      <c r="U2705" s="349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66"/>
        <v>806.49999999999693</v>
      </c>
      <c r="O2706" t="s">
        <v>302</v>
      </c>
      <c r="R2706" t="s">
        <v>1778</v>
      </c>
      <c r="S2706" s="63"/>
      <c r="T2706" s="63"/>
      <c r="U2706" s="348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6"/>
        <v>765.20000000000323</v>
      </c>
      <c r="S2707" s="278"/>
      <c r="T2707" s="63"/>
      <c r="U2707" s="348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6"/>
        <v>733.09999999999968</v>
      </c>
      <c r="O2708" t="s">
        <v>283</v>
      </c>
      <c r="S2708" s="278"/>
      <c r="T2708" s="63"/>
      <c r="U2708" s="348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66"/>
        <v>726.89999999999714</v>
      </c>
      <c r="O2709" t="s">
        <v>298</v>
      </c>
      <c r="S2709" s="278"/>
      <c r="T2709" s="63"/>
      <c r="U2709" s="349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6"/>
        <v>722.09999999999559</v>
      </c>
      <c r="O2710" t="s">
        <v>293</v>
      </c>
      <c r="S2710" s="225"/>
      <c r="T2710" s="63"/>
      <c r="U2710" s="348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6"/>
        <v>720.10000000000764</v>
      </c>
      <c r="O2711" t="s">
        <v>301</v>
      </c>
      <c r="S2711" s="63"/>
      <c r="T2711" s="63"/>
      <c r="U2711" s="349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6"/>
        <v>712.99999999998727</v>
      </c>
      <c r="S2712" s="278"/>
      <c r="T2712" s="63"/>
      <c r="U2712" s="348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6"/>
        <v>703.300000000002</v>
      </c>
      <c r="O2713" t="s">
        <v>284</v>
      </c>
      <c r="S2713" s="63"/>
      <c r="T2713" s="63"/>
      <c r="U2713" s="348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66"/>
        <v>675.99999999999818</v>
      </c>
      <c r="O2714" t="s">
        <v>286</v>
      </c>
      <c r="S2714" s="278"/>
      <c r="T2714" s="63"/>
      <c r="U2714" s="348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6"/>
        <v>656.6999999999905</v>
      </c>
      <c r="S2715" s="63"/>
      <c r="T2715" s="63"/>
      <c r="U2715" s="348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66"/>
        <v>641.50000000000182</v>
      </c>
      <c r="S2716" s="278"/>
      <c r="T2716" s="63"/>
      <c r="U2716" s="348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6"/>
        <v>629.99999999999966</v>
      </c>
      <c r="O2717" t="s">
        <v>293</v>
      </c>
      <c r="S2717" s="278"/>
      <c r="T2717" s="63"/>
      <c r="U2717" s="348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6"/>
        <v>618.94999999999618</v>
      </c>
      <c r="S2718" s="278"/>
      <c r="T2718" s="63"/>
      <c r="U2718" s="348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6"/>
        <v>550.69999999999413</v>
      </c>
      <c r="S2719" s="63"/>
      <c r="T2719" s="63"/>
      <c r="U2719" s="348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66"/>
        <v>546.90000000000282</v>
      </c>
      <c r="O2720" t="s">
        <v>285</v>
      </c>
      <c r="S2720" s="63"/>
      <c r="T2720" s="63"/>
      <c r="U2720" s="348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6"/>
        <v>541.10000000000218</v>
      </c>
      <c r="O2721" t="s">
        <v>293</v>
      </c>
      <c r="S2721" s="225"/>
      <c r="T2721" s="63"/>
      <c r="U2721" s="348"/>
      <c r="V2721" s="63"/>
      <c r="W2721" s="63"/>
    </row>
    <row r="2722" spans="1:23" ht="15.75" customHeight="1">
      <c r="A2722" s="28" t="s">
        <v>277</v>
      </c>
      <c r="B2722" s="278" t="s">
        <v>2007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67">SUM(E2722:K2722)</f>
        <v>539.49999999999909</v>
      </c>
      <c r="O2722" t="s">
        <v>289</v>
      </c>
      <c r="S2722" s="63"/>
      <c r="T2722" s="63"/>
      <c r="U2722" s="348"/>
      <c r="V2722" s="63"/>
      <c r="W2722" s="63"/>
    </row>
    <row r="2723" spans="1:23" ht="15.75" customHeight="1">
      <c r="A2723" s="28" t="s">
        <v>278</v>
      </c>
      <c r="B2723" s="278" t="s">
        <v>2012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67"/>
        <v>513.60000000000582</v>
      </c>
      <c r="O2723" t="s">
        <v>284</v>
      </c>
      <c r="S2723" s="278"/>
      <c r="T2723" s="63"/>
      <c r="U2723" s="348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7"/>
        <v>511.59999999999491</v>
      </c>
      <c r="S2724" s="63"/>
      <c r="T2724" s="63"/>
      <c r="U2724" s="348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67"/>
        <v>492.29999999999819</v>
      </c>
      <c r="S2725" s="28"/>
      <c r="T2725" s="63"/>
      <c r="U2725" s="349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67"/>
        <v>488.50000000000182</v>
      </c>
      <c r="S2726" s="63"/>
      <c r="T2726" s="63"/>
      <c r="U2726" s="348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67"/>
        <v>485.600000000004</v>
      </c>
      <c r="S2727" s="278"/>
      <c r="T2727" s="63"/>
      <c r="U2727" s="349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67"/>
        <v>458.49999999999454</v>
      </c>
      <c r="S2728" s="278"/>
      <c r="T2728" s="63"/>
      <c r="U2728" s="349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7"/>
        <v>457.899999999996</v>
      </c>
      <c r="S2729" s="225"/>
      <c r="T2729" s="63"/>
      <c r="U2729" s="349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67"/>
        <v>439.30000000000473</v>
      </c>
      <c r="S2730" s="63"/>
      <c r="T2730" s="63"/>
      <c r="U2730" s="349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67"/>
        <v>435.10000000000582</v>
      </c>
      <c r="S2731" s="63"/>
      <c r="T2731" s="63"/>
      <c r="U2731" s="348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67"/>
        <v>431.29999999999927</v>
      </c>
      <c r="S2732" s="278"/>
      <c r="T2732" s="63"/>
      <c r="U2732" s="348"/>
      <c r="V2732" s="63"/>
      <c r="W2732" s="63"/>
    </row>
    <row r="2733" spans="1:23" ht="15.75" customHeight="1">
      <c r="A2733" s="28" t="s">
        <v>756</v>
      </c>
      <c r="B2733" s="278" t="s">
        <v>2013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67"/>
        <v>420.99999999999636</v>
      </c>
      <c r="S2733" s="278"/>
      <c r="T2733" s="63"/>
      <c r="U2733" s="349"/>
      <c r="V2733" s="63"/>
      <c r="W2733" s="63"/>
    </row>
    <row r="2734" spans="1:23" ht="15.75" customHeight="1">
      <c r="A2734" s="28" t="s">
        <v>761</v>
      </c>
      <c r="B2734" s="278" t="s">
        <v>2029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67"/>
        <v>416.10000000000036</v>
      </c>
      <c r="O2734" t="s">
        <v>282</v>
      </c>
      <c r="R2734" s="21" t="s">
        <v>1778</v>
      </c>
      <c r="S2734" s="225"/>
      <c r="T2734" s="63"/>
      <c r="U2734" s="348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7"/>
        <v>411.89999999999782</v>
      </c>
      <c r="S2735" s="225"/>
      <c r="T2735" s="63"/>
      <c r="U2735" s="348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67"/>
        <v>405.40000000000691</v>
      </c>
      <c r="O2736" t="s">
        <v>294</v>
      </c>
      <c r="S2736" s="225"/>
      <c r="T2736" s="63"/>
      <c r="U2736" s="348"/>
      <c r="V2736" s="63"/>
      <c r="W2736" s="63"/>
    </row>
    <row r="2737" spans="1:23" ht="15">
      <c r="A2737" s="28" t="s">
        <v>767</v>
      </c>
      <c r="B2737" s="278" t="s">
        <v>2015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67"/>
        <v>394.90000000000873</v>
      </c>
      <c r="O2737" t="s">
        <v>285</v>
      </c>
      <c r="S2737" s="278"/>
      <c r="T2737" s="63"/>
      <c r="U2737" s="349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67"/>
        <v>385.80000000000473</v>
      </c>
      <c r="S2738" s="63"/>
      <c r="T2738" s="63"/>
      <c r="U2738" s="348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67"/>
        <v>382.69999999999345</v>
      </c>
      <c r="S2739" s="278"/>
      <c r="T2739" s="63"/>
      <c r="U2739" s="348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7"/>
        <v>370.59999999999491</v>
      </c>
      <c r="S2740" s="63"/>
      <c r="T2740" s="63"/>
      <c r="U2740" s="349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67"/>
        <v>359.5</v>
      </c>
      <c r="O2741" t="s">
        <v>301</v>
      </c>
      <c r="S2741" s="63"/>
      <c r="T2741" s="63"/>
      <c r="U2741" s="348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67"/>
        <v>332.79999999999745</v>
      </c>
      <c r="S2742" s="63"/>
      <c r="T2742" s="63"/>
      <c r="U2742" s="348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67"/>
        <v>330.5</v>
      </c>
      <c r="O2743" t="s">
        <v>284</v>
      </c>
      <c r="S2743" s="28"/>
      <c r="T2743" s="63"/>
      <c r="U2743" s="348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7"/>
        <v>329.69999999999345</v>
      </c>
      <c r="S2744" s="63"/>
      <c r="T2744" s="63"/>
      <c r="U2744" s="348"/>
      <c r="V2744" s="63"/>
      <c r="W2744" s="63"/>
    </row>
    <row r="2745" spans="1:23" ht="15">
      <c r="A2745" s="28" t="s">
        <v>795</v>
      </c>
      <c r="B2745" s="278" t="s">
        <v>2056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67"/>
        <v>328.99999999999818</v>
      </c>
      <c r="O2745" t="s">
        <v>298</v>
      </c>
      <c r="S2745" s="225"/>
      <c r="T2745" s="63"/>
      <c r="U2745" s="348"/>
      <c r="V2745" s="63"/>
      <c r="W2745" s="63"/>
    </row>
    <row r="2746" spans="1:23" ht="15">
      <c r="A2746" s="28" t="s">
        <v>797</v>
      </c>
      <c r="B2746" s="278" t="s">
        <v>2010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67"/>
        <v>327.69999999999709</v>
      </c>
      <c r="S2746" s="63"/>
      <c r="T2746" s="63"/>
      <c r="U2746" s="348"/>
      <c r="V2746" s="63"/>
      <c r="W2746" s="63"/>
    </row>
    <row r="2747" spans="1:23" ht="15">
      <c r="A2747" s="28" t="s">
        <v>798</v>
      </c>
      <c r="B2747" s="278" t="s">
        <v>2028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67"/>
        <v>316.99999999999636</v>
      </c>
      <c r="O2747" t="s">
        <v>293</v>
      </c>
      <c r="S2747" s="278"/>
      <c r="T2747" s="63"/>
      <c r="U2747" s="349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7"/>
        <v>311.19999999999891</v>
      </c>
      <c r="S2748" s="63"/>
      <c r="T2748" s="63"/>
      <c r="U2748" s="348"/>
      <c r="V2748" s="63"/>
      <c r="W2748" s="63"/>
    </row>
    <row r="2749" spans="1:23" ht="15">
      <c r="A2749" s="28" t="s">
        <v>802</v>
      </c>
      <c r="B2749" s="278" t="s">
        <v>2054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67"/>
        <v>307.50000000000091</v>
      </c>
      <c r="O2749" t="s">
        <v>288</v>
      </c>
      <c r="S2749" s="63"/>
      <c r="T2749" s="63"/>
      <c r="U2749" s="349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67"/>
        <v>288.5</v>
      </c>
      <c r="O2750" t="s">
        <v>289</v>
      </c>
      <c r="S2750" s="278"/>
      <c r="T2750" s="63"/>
      <c r="U2750" s="349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67"/>
        <v>285.00000000000546</v>
      </c>
      <c r="S2751" s="278"/>
      <c r="T2751" s="63"/>
      <c r="U2751" s="348"/>
      <c r="V2751" s="63"/>
      <c r="W2751" s="63"/>
    </row>
    <row r="2752" spans="1:23" ht="15">
      <c r="A2752" s="28" t="s">
        <v>898</v>
      </c>
      <c r="B2752" s="278" t="s">
        <v>2011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67"/>
        <v>279.50000000000182</v>
      </c>
      <c r="S2752" s="63"/>
      <c r="T2752" s="63"/>
      <c r="U2752" s="349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67"/>
        <v>274.80000000000655</v>
      </c>
      <c r="S2753" s="278"/>
      <c r="T2753" s="63"/>
      <c r="U2753" s="349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68">SUM(E2754:K2754)</f>
        <v>246.80000000000109</v>
      </c>
      <c r="O2754" t="s">
        <v>289</v>
      </c>
      <c r="S2754" s="278"/>
      <c r="T2754" s="63"/>
      <c r="U2754" s="348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68"/>
        <v>243.99999999999636</v>
      </c>
      <c r="S2755" s="278"/>
      <c r="T2755" s="63"/>
      <c r="U2755" s="348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68"/>
        <v>242.09999999999127</v>
      </c>
      <c r="S2756" s="63"/>
      <c r="T2756" s="63"/>
      <c r="U2756" s="348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68"/>
        <v>241.50000000000364</v>
      </c>
      <c r="S2757" s="63"/>
      <c r="T2757" s="63"/>
      <c r="U2757" s="348"/>
      <c r="V2757" s="63"/>
      <c r="W2757" s="63"/>
    </row>
    <row r="2758" spans="1:23" ht="15">
      <c r="A2758" s="28" t="s">
        <v>904</v>
      </c>
      <c r="B2758" s="278" t="s">
        <v>2161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68"/>
        <v>222</v>
      </c>
      <c r="S2758" s="63"/>
      <c r="T2758" s="63"/>
      <c r="U2758" s="349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8"/>
        <v>221.89999999999782</v>
      </c>
      <c r="S2759" s="278"/>
      <c r="T2759" s="63"/>
      <c r="U2759" s="348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68"/>
        <v>211.90000000000509</v>
      </c>
      <c r="S2760" s="278"/>
      <c r="T2760" s="63"/>
      <c r="U2760" s="348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8"/>
        <v>198.399999999996</v>
      </c>
      <c r="S2761" s="28"/>
      <c r="T2761" s="63"/>
      <c r="U2761" s="348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68"/>
        <v>198.399999999996</v>
      </c>
      <c r="S2762" s="225"/>
      <c r="T2762" s="63"/>
      <c r="U2762" s="348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8"/>
        <v>186.50000000000819</v>
      </c>
      <c r="S2763" s="278"/>
      <c r="T2763" s="63"/>
      <c r="U2763" s="348"/>
      <c r="V2763" s="63"/>
      <c r="W2763" s="63"/>
    </row>
    <row r="2764" spans="1:23" ht="15">
      <c r="A2764" s="28" t="s">
        <v>910</v>
      </c>
      <c r="B2764" s="278" t="s">
        <v>2014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68"/>
        <v>183.00000000000182</v>
      </c>
      <c r="S2764" s="278"/>
      <c r="T2764" s="63"/>
      <c r="U2764" s="348"/>
      <c r="V2764" s="63"/>
      <c r="W2764" s="63"/>
    </row>
    <row r="2765" spans="1:23" ht="15">
      <c r="A2765" s="28" t="s">
        <v>911</v>
      </c>
      <c r="B2765" s="278" t="s">
        <v>2032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68"/>
        <v>170.49999999999909</v>
      </c>
      <c r="S2765" s="28"/>
      <c r="T2765" s="63"/>
      <c r="U2765" s="348"/>
      <c r="V2765" s="63"/>
      <c r="W2765" s="63"/>
    </row>
    <row r="2766" spans="1:23" ht="15">
      <c r="A2766" s="28" t="s">
        <v>912</v>
      </c>
      <c r="B2766" s="278" t="s">
        <v>2030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68"/>
        <v>168.10000000000127</v>
      </c>
      <c r="S2766" s="225"/>
      <c r="T2766" s="63"/>
      <c r="U2766" s="348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68"/>
        <v>156.80000000000109</v>
      </c>
      <c r="S2767" s="63"/>
      <c r="T2767" s="63"/>
      <c r="U2767" s="348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68"/>
        <v>155.39999999998963</v>
      </c>
      <c r="S2768" s="63"/>
      <c r="T2768" s="63"/>
      <c r="U2768" s="348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8"/>
        <v>146.60000000000764</v>
      </c>
      <c r="S2769" s="278"/>
      <c r="T2769" s="63"/>
      <c r="U2769" s="348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68"/>
        <v>135.69999999998254</v>
      </c>
      <c r="S2770" s="60"/>
      <c r="T2770" s="3"/>
    </row>
    <row r="2771" spans="1:23" ht="15">
      <c r="A2771" s="28" t="s">
        <v>917</v>
      </c>
      <c r="B2771" s="278" t="s">
        <v>2006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68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8"/>
        <v>115.59999999999491</v>
      </c>
    </row>
    <row r="2773" spans="1:23" ht="15">
      <c r="A2773" s="28" t="s">
        <v>919</v>
      </c>
      <c r="B2773" s="278" t="s">
        <v>2027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68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68"/>
        <v>111.19999999999891</v>
      </c>
      <c r="S2774" s="3"/>
      <c r="T2774" s="3"/>
    </row>
    <row r="2775" spans="1:23" ht="15">
      <c r="A2775" s="28" t="s">
        <v>921</v>
      </c>
      <c r="B2775" s="278" t="s">
        <v>2008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68"/>
        <v>90.999999999996362</v>
      </c>
      <c r="S2775" s="60"/>
      <c r="T2775" s="3"/>
    </row>
    <row r="2776" spans="1:23" ht="15">
      <c r="A2776" s="28" t="s">
        <v>922</v>
      </c>
      <c r="B2776" s="278" t="s">
        <v>2057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68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68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2022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68"/>
        <v>47.599999999996726</v>
      </c>
    </row>
    <row r="2779" spans="1:23" ht="15">
      <c r="A2779" s="28" t="s">
        <v>925</v>
      </c>
      <c r="B2779" s="278" t="s">
        <v>2031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68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8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68"/>
        <v>29.900000000000546</v>
      </c>
      <c r="S2781" s="60"/>
      <c r="T2781" s="3"/>
    </row>
    <row r="2782" spans="1:23" ht="15">
      <c r="A2782" s="28" t="s">
        <v>928</v>
      </c>
      <c r="B2782" s="278" t="s">
        <v>4520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68"/>
        <v>18.200000000004366</v>
      </c>
      <c r="S2782" s="82"/>
      <c r="T2782" s="3"/>
    </row>
    <row r="2783" spans="1:23" ht="15">
      <c r="A2783" s="28" t="s">
        <v>929</v>
      </c>
      <c r="B2783" s="278" t="s">
        <v>2034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68"/>
        <v>6.499999999998181</v>
      </c>
      <c r="S2783" s="3"/>
      <c r="T2783" s="63"/>
    </row>
    <row r="2784" spans="1:23" ht="15">
      <c r="A2784" s="28" t="s">
        <v>930</v>
      </c>
      <c r="B2784" s="278" t="s">
        <v>2033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68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68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68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68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68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68"/>
        <v>0</v>
      </c>
      <c r="S2789" s="3"/>
      <c r="T2789" s="63"/>
    </row>
    <row r="2790" spans="1:20" ht="15">
      <c r="A2790" s="28" t="s">
        <v>2505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68"/>
        <v>0</v>
      </c>
      <c r="S2790" s="3"/>
      <c r="T2790" s="63"/>
    </row>
    <row r="2791" spans="1:20" ht="15">
      <c r="A2791" s="28" t="s">
        <v>3323</v>
      </c>
      <c r="B2791" s="63" t="s">
        <v>3385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3324</v>
      </c>
      <c r="B2792" s="63" t="s">
        <v>3379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3325</v>
      </c>
      <c r="B2793" s="63" t="s">
        <v>3378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3326</v>
      </c>
      <c r="B2794" s="63" t="s">
        <v>3394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3327</v>
      </c>
      <c r="B2795" s="63" t="s">
        <v>3393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3328</v>
      </c>
      <c r="B2796" s="63" t="s">
        <v>3381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3329</v>
      </c>
      <c r="B2797" s="63" t="s">
        <v>3375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3330</v>
      </c>
      <c r="B2798" s="63" t="s">
        <v>3406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3331</v>
      </c>
      <c r="B2799" s="278" t="s">
        <v>3374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3332</v>
      </c>
      <c r="B2800" s="63" t="s">
        <v>3390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3333</v>
      </c>
      <c r="B2801" s="63" t="s">
        <v>3387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3334</v>
      </c>
      <c r="B2802" s="63" t="s">
        <v>3402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3335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3336</v>
      </c>
      <c r="B2804" s="63" t="s">
        <v>3403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3337</v>
      </c>
      <c r="B2805" s="63" t="s">
        <v>3382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3338</v>
      </c>
      <c r="B2806" s="63" t="s">
        <v>3376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3339</v>
      </c>
      <c r="B2807" s="63" t="s">
        <v>3383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3340</v>
      </c>
      <c r="B2808" s="63" t="s">
        <v>3380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3341</v>
      </c>
      <c r="B2809" s="63" t="s">
        <v>3391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3342</v>
      </c>
      <c r="B2810" s="63" t="s">
        <v>3386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3343</v>
      </c>
      <c r="B2811" s="278" t="s">
        <v>3373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3344</v>
      </c>
      <c r="B2812" s="63" t="s">
        <v>3388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3345</v>
      </c>
      <c r="B2813" s="63" t="s">
        <v>3407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3346</v>
      </c>
      <c r="B2814" s="63" t="s">
        <v>3377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4138</v>
      </c>
      <c r="B2815" s="63" t="s">
        <v>3384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4139</v>
      </c>
      <c r="B2816" s="63" t="s">
        <v>3405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4140</v>
      </c>
      <c r="B2817" s="63" t="s">
        <v>3389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69">SUM(E2824:K2824)</f>
        <v>21944.000000000011</v>
      </c>
      <c r="O2824" t="s">
        <v>2706</v>
      </c>
      <c r="R2824" t="s">
        <v>1843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9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69"/>
        <v>19316.349999999995</v>
      </c>
      <c r="O2826" t="s">
        <v>2482</v>
      </c>
      <c r="R2826" t="s">
        <v>1843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69"/>
        <v>19188.550000000003</v>
      </c>
      <c r="O2827" t="s">
        <v>1842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69"/>
        <v>18641.250000000004</v>
      </c>
      <c r="O2828" t="s">
        <v>1844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69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9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69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9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9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69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9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69"/>
        <v>15702.5</v>
      </c>
      <c r="O2836" t="s">
        <v>2483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9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9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69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9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69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9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9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69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69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69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9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9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69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9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9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69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69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69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69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70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70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70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70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70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70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70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70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70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70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70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70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70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70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70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70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70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70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70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70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70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2022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70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70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70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70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2014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70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2012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70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2006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70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70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70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70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2010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70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71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71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71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71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2013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71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2007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71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71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2015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71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71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71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71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2033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71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2011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71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2161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71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2054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71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2008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71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71"/>
        <v>2334.100000000004</v>
      </c>
      <c r="S2904" s="63"/>
    </row>
    <row r="2905" spans="1:23" ht="15">
      <c r="A2905" s="28" t="s">
        <v>917</v>
      </c>
      <c r="B2905" s="278" t="s">
        <v>4520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71"/>
        <v>2194.9000000000033</v>
      </c>
      <c r="S2905" s="238"/>
    </row>
    <row r="2906" spans="1:23" ht="15">
      <c r="A2906" s="28" t="s">
        <v>918</v>
      </c>
      <c r="B2906" s="278" t="s">
        <v>2031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71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71"/>
        <v>2107.8999999999951</v>
      </c>
      <c r="S2907" s="278"/>
    </row>
    <row r="2908" spans="1:23" ht="15">
      <c r="A2908" s="28" t="s">
        <v>920</v>
      </c>
      <c r="B2908" s="278" t="s">
        <v>2030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71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71"/>
        <v>2037.1500000000005</v>
      </c>
      <c r="S2909" s="63"/>
    </row>
    <row r="2910" spans="1:23" ht="15">
      <c r="A2910" s="28" t="s">
        <v>922</v>
      </c>
      <c r="B2910" s="278" t="s">
        <v>2029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71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71"/>
        <v>1932.7999999999956</v>
      </c>
    </row>
    <row r="2912" spans="1:23" ht="15">
      <c r="A2912" s="28" t="s">
        <v>924</v>
      </c>
      <c r="B2912" s="278" t="s">
        <v>2027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71"/>
        <v>1856.8999999999996</v>
      </c>
    </row>
    <row r="2913" spans="1:13" ht="15">
      <c r="A2913" s="28" t="s">
        <v>925</v>
      </c>
      <c r="B2913" s="278" t="s">
        <v>2032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71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71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71"/>
        <v>1607.3999999999996</v>
      </c>
    </row>
    <row r="2916" spans="1:13" ht="15">
      <c r="A2916" s="28" t="s">
        <v>928</v>
      </c>
      <c r="B2916" s="278" t="s">
        <v>2056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71"/>
        <v>1540.6000000000013</v>
      </c>
    </row>
    <row r="2917" spans="1:13" ht="15">
      <c r="A2917" s="28" t="s">
        <v>929</v>
      </c>
      <c r="B2917" s="278" t="s">
        <v>2028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71"/>
        <v>1455.9000000000033</v>
      </c>
    </row>
    <row r="2918" spans="1:13" ht="15">
      <c r="A2918" s="28" t="s">
        <v>930</v>
      </c>
      <c r="B2918" s="278" t="s">
        <v>2034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71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71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71"/>
        <v>1249.2</v>
      </c>
    </row>
    <row r="2921" spans="1:13" ht="15">
      <c r="A2921" s="28" t="s">
        <v>933</v>
      </c>
      <c r="B2921" s="278" t="s">
        <v>2057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71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71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71"/>
        <v>529.19999999999527</v>
      </c>
    </row>
    <row r="2924" spans="1:13" ht="15">
      <c r="A2924" s="28" t="s">
        <v>2505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71"/>
        <v>263.90000000000509</v>
      </c>
    </row>
    <row r="2925" spans="1:13" ht="15">
      <c r="A2925" s="28" t="s">
        <v>3323</v>
      </c>
      <c r="B2925" s="63" t="s">
        <v>3385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3324</v>
      </c>
      <c r="B2926" s="63" t="s">
        <v>3379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3325</v>
      </c>
      <c r="B2927" s="63" t="s">
        <v>3378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3326</v>
      </c>
      <c r="B2928" s="63" t="s">
        <v>3394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3327</v>
      </c>
      <c r="B2929" s="63" t="s">
        <v>3393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3328</v>
      </c>
      <c r="B2930" s="63" t="s">
        <v>3381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3329</v>
      </c>
      <c r="B2931" s="63" t="s">
        <v>3375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3330</v>
      </c>
      <c r="B2932" s="63" t="s">
        <v>3406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3331</v>
      </c>
      <c r="B2933" s="278" t="s">
        <v>3374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3332</v>
      </c>
      <c r="B2934" s="63" t="s">
        <v>3390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3333</v>
      </c>
      <c r="B2935" s="63" t="s">
        <v>3387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3334</v>
      </c>
      <c r="B2936" s="63" t="s">
        <v>3402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3335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3336</v>
      </c>
      <c r="B2938" s="63" t="s">
        <v>3403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3337</v>
      </c>
      <c r="B2939" s="63" t="s">
        <v>3382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3338</v>
      </c>
      <c r="B2940" s="63" t="s">
        <v>3376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3339</v>
      </c>
      <c r="B2941" s="63" t="s">
        <v>3383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3340</v>
      </c>
      <c r="B2942" s="63" t="s">
        <v>3380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3341</v>
      </c>
      <c r="B2943" s="63" t="s">
        <v>3391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3342</v>
      </c>
      <c r="B2944" s="63" t="s">
        <v>3386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3343</v>
      </c>
      <c r="B2945" s="278" t="s">
        <v>3373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3344</v>
      </c>
      <c r="B2946" s="63" t="s">
        <v>3388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3345</v>
      </c>
      <c r="B2947" s="63" t="s">
        <v>3407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3346</v>
      </c>
      <c r="B2948" s="63" t="s">
        <v>3377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4138</v>
      </c>
      <c r="B2949" s="63" t="s">
        <v>3384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4139</v>
      </c>
      <c r="B2950" s="63" t="s">
        <v>3405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4140</v>
      </c>
      <c r="B2951" s="63" t="s">
        <v>3389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72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72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72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72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72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72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72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72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72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72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72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72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72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72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72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72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72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72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72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72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72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72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72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72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72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72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72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72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72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72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72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72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73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73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73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73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73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73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73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73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73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73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73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73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73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73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73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73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73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73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73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73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73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73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73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73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73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73"/>
        <v>96.300000000002001</v>
      </c>
    </row>
    <row r="3016" spans="1:22" ht="15">
      <c r="A3016" s="28" t="s">
        <v>799</v>
      </c>
      <c r="B3016" s="278" t="s">
        <v>2014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73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73"/>
        <v>0</v>
      </c>
    </row>
    <row r="3018" spans="1:22" ht="15">
      <c r="A3018" s="28" t="s">
        <v>896</v>
      </c>
      <c r="B3018" s="278" t="s">
        <v>2007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73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73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73"/>
        <v>0</v>
      </c>
    </row>
    <row r="3021" spans="1:22" ht="15">
      <c r="A3021" s="28" t="s">
        <v>899</v>
      </c>
      <c r="B3021" s="278" t="s">
        <v>2013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73"/>
        <v>0</v>
      </c>
    </row>
    <row r="3022" spans="1:22" ht="15">
      <c r="A3022" s="28" t="s">
        <v>900</v>
      </c>
      <c r="B3022" s="278" t="s">
        <v>2027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74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74"/>
        <v>0</v>
      </c>
    </row>
    <row r="3024" spans="1:22" ht="15">
      <c r="A3024" s="28" t="s">
        <v>902</v>
      </c>
      <c r="B3024" s="278" t="s">
        <v>2057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74"/>
        <v>0</v>
      </c>
    </row>
    <row r="3025" spans="1:13" ht="15">
      <c r="A3025" s="28" t="s">
        <v>903</v>
      </c>
      <c r="B3025" s="278" t="s">
        <v>2010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74"/>
        <v>0</v>
      </c>
    </row>
    <row r="3026" spans="1:13" ht="15">
      <c r="A3026" s="28" t="s">
        <v>904</v>
      </c>
      <c r="B3026" s="278" t="s">
        <v>2028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74"/>
        <v>0</v>
      </c>
    </row>
    <row r="3027" spans="1:13" ht="15">
      <c r="A3027" s="28" t="s">
        <v>905</v>
      </c>
      <c r="B3027" s="278" t="s">
        <v>2008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74"/>
        <v>0</v>
      </c>
    </row>
    <row r="3028" spans="1:13" ht="15">
      <c r="A3028" s="28" t="s">
        <v>906</v>
      </c>
      <c r="B3028" s="278" t="s">
        <v>2022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74"/>
        <v>0</v>
      </c>
    </row>
    <row r="3029" spans="1:13" ht="15">
      <c r="A3029" s="28" t="s">
        <v>907</v>
      </c>
      <c r="B3029" s="278" t="s">
        <v>2029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74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74"/>
        <v>0</v>
      </c>
    </row>
    <row r="3031" spans="1:13" ht="15">
      <c r="A3031" s="28" t="s">
        <v>909</v>
      </c>
      <c r="B3031" s="278" t="s">
        <v>2015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74"/>
        <v>0</v>
      </c>
    </row>
    <row r="3032" spans="1:13" ht="15">
      <c r="A3032" s="28" t="s">
        <v>910</v>
      </c>
      <c r="B3032" s="278" t="s">
        <v>2011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74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74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74"/>
        <v>0</v>
      </c>
    </row>
    <row r="3035" spans="1:13" ht="15">
      <c r="A3035" s="28" t="s">
        <v>913</v>
      </c>
      <c r="B3035" s="278" t="s">
        <v>4520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74"/>
        <v>0</v>
      </c>
    </row>
    <row r="3036" spans="1:13" ht="15">
      <c r="A3036" s="28" t="s">
        <v>914</v>
      </c>
      <c r="B3036" s="278" t="s">
        <v>2030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74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74"/>
        <v>0</v>
      </c>
    </row>
    <row r="3038" spans="1:13" ht="15">
      <c r="A3038" s="28" t="s">
        <v>916</v>
      </c>
      <c r="B3038" s="278" t="s">
        <v>2031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74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74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74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74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74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74"/>
        <v>0</v>
      </c>
    </row>
    <row r="3044" spans="1:13" ht="15">
      <c r="A3044" s="28" t="s">
        <v>922</v>
      </c>
      <c r="B3044" s="278" t="s">
        <v>2032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74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74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74"/>
        <v>0</v>
      </c>
    </row>
    <row r="3047" spans="1:13" ht="15">
      <c r="A3047" s="28" t="s">
        <v>925</v>
      </c>
      <c r="B3047" s="278" t="s">
        <v>2054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74"/>
        <v>0</v>
      </c>
    </row>
    <row r="3048" spans="1:13" ht="15">
      <c r="A3048" s="28" t="s">
        <v>926</v>
      </c>
      <c r="B3048" s="278" t="s">
        <v>2056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74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74"/>
        <v>0</v>
      </c>
    </row>
    <row r="3050" spans="1:13" ht="15">
      <c r="A3050" s="28" t="s">
        <v>928</v>
      </c>
      <c r="B3050" s="278" t="s">
        <v>2161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74"/>
        <v>0</v>
      </c>
    </row>
    <row r="3051" spans="1:13" ht="15">
      <c r="A3051" s="28" t="s">
        <v>929</v>
      </c>
      <c r="B3051" s="278" t="s">
        <v>2033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74"/>
        <v>0</v>
      </c>
    </row>
    <row r="3052" spans="1:13" ht="15">
      <c r="A3052" s="28" t="s">
        <v>930</v>
      </c>
      <c r="B3052" s="278" t="s">
        <v>2006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74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74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74"/>
        <v>0</v>
      </c>
    </row>
    <row r="3055" spans="1:13" ht="15">
      <c r="A3055" s="28" t="s">
        <v>933</v>
      </c>
      <c r="B3055" s="278" t="s">
        <v>2034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74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74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74"/>
        <v>0</v>
      </c>
    </row>
    <row r="3058" spans="1:13" ht="15">
      <c r="A3058" s="28" t="s">
        <v>2505</v>
      </c>
      <c r="B3058" s="278" t="s">
        <v>2012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74"/>
        <v>0</v>
      </c>
    </row>
    <row r="3059" spans="1:13" ht="15">
      <c r="A3059" s="28" t="s">
        <v>3323</v>
      </c>
      <c r="B3059" s="63" t="s">
        <v>3385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3324</v>
      </c>
      <c r="B3060" s="63" t="s">
        <v>3379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3325</v>
      </c>
      <c r="B3061" s="63" t="s">
        <v>3378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3326</v>
      </c>
      <c r="B3062" s="63" t="s">
        <v>3394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3327</v>
      </c>
      <c r="B3063" s="63" t="s">
        <v>3393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3328</v>
      </c>
      <c r="B3064" s="63" t="s">
        <v>3381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3329</v>
      </c>
      <c r="B3065" s="63" t="s">
        <v>3375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3330</v>
      </c>
      <c r="B3066" s="63" t="s">
        <v>3406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3331</v>
      </c>
      <c r="B3067" s="278" t="s">
        <v>3374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3332</v>
      </c>
      <c r="B3068" s="63" t="s">
        <v>3390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3333</v>
      </c>
      <c r="B3069" s="63" t="s">
        <v>3387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3334</v>
      </c>
      <c r="B3070" s="63" t="s">
        <v>3402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3335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3336</v>
      </c>
      <c r="B3072" s="63" t="s">
        <v>3403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3337</v>
      </c>
      <c r="B3073" s="63" t="s">
        <v>3382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3338</v>
      </c>
      <c r="B3074" s="63" t="s">
        <v>3376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3339</v>
      </c>
      <c r="B3075" s="63" t="s">
        <v>3383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3340</v>
      </c>
      <c r="B3076" s="63" t="s">
        <v>3380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3341</v>
      </c>
      <c r="B3077" s="63" t="s">
        <v>3391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3342</v>
      </c>
      <c r="B3078" s="63" t="s">
        <v>3386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3343</v>
      </c>
      <c r="B3079" s="278" t="s">
        <v>3373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3344</v>
      </c>
      <c r="B3080" s="63" t="s">
        <v>3388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3345</v>
      </c>
      <c r="B3081" s="63" t="s">
        <v>3407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3346</v>
      </c>
      <c r="B3082" s="63" t="s">
        <v>3377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4138</v>
      </c>
      <c r="B3083" s="63" t="s">
        <v>3384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4139</v>
      </c>
      <c r="B3084" s="63" t="s">
        <v>3405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4140</v>
      </c>
      <c r="B3085" s="63" t="s">
        <v>3389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5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5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75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75"/>
        <v>4394.7000000000062</v>
      </c>
      <c r="O3095" t="s">
        <v>2484</v>
      </c>
      <c r="R3095" s="21" t="s">
        <v>2485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5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75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75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75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5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5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75"/>
        <v>3654.4999999999986</v>
      </c>
      <c r="O3102" t="s">
        <v>2486</v>
      </c>
      <c r="R3102" t="s">
        <v>2487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5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5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75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5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75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5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75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75"/>
        <v>2919.0000000000027</v>
      </c>
      <c r="O3110" t="s">
        <v>2489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75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75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5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5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75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5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75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5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75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75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5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5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75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6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76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6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6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6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6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6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6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6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6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6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6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6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6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6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6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76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6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6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6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6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76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6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6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6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6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6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6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6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6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6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6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77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77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2012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77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2013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77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2015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77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2006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77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77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4520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77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2022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77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2032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77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2007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77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2010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77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2033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77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77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2028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77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77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2014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77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77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77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77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77"/>
        <v>575.79999999999927</v>
      </c>
    </row>
    <row r="3177" spans="1:23" ht="15">
      <c r="A3177" s="28" t="s">
        <v>921</v>
      </c>
      <c r="B3177" s="278" t="s">
        <v>2034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77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77"/>
        <v>505.79999999999995</v>
      </c>
    </row>
    <row r="3179" spans="1:23" ht="15">
      <c r="A3179" s="28" t="s">
        <v>923</v>
      </c>
      <c r="B3179" s="278" t="s">
        <v>2056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77"/>
        <v>498.90000000000509</v>
      </c>
    </row>
    <row r="3180" spans="1:23" ht="15">
      <c r="A3180" s="28" t="s">
        <v>924</v>
      </c>
      <c r="B3180" s="278" t="s">
        <v>2161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77"/>
        <v>489.79999999999745</v>
      </c>
    </row>
    <row r="3181" spans="1:23" ht="15">
      <c r="A3181" s="28" t="s">
        <v>925</v>
      </c>
      <c r="B3181" s="278" t="s">
        <v>2008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77"/>
        <v>482.49999999999454</v>
      </c>
    </row>
    <row r="3182" spans="1:23" ht="15">
      <c r="A3182" s="28" t="s">
        <v>926</v>
      </c>
      <c r="B3182" s="278" t="s">
        <v>2029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77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77"/>
        <v>464.09999999999309</v>
      </c>
    </row>
    <row r="3184" spans="1:23" ht="15">
      <c r="A3184" s="28" t="s">
        <v>928</v>
      </c>
      <c r="B3184" s="278" t="s">
        <v>2027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77"/>
        <v>463.70000000000073</v>
      </c>
    </row>
    <row r="3185" spans="1:13" ht="15">
      <c r="A3185" s="28" t="s">
        <v>929</v>
      </c>
      <c r="B3185" s="278" t="s">
        <v>2057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77"/>
        <v>440.80000000000291</v>
      </c>
    </row>
    <row r="3186" spans="1:13" ht="15">
      <c r="A3186" s="28" t="s">
        <v>930</v>
      </c>
      <c r="B3186" s="278" t="s">
        <v>2031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77"/>
        <v>394.80000000000109</v>
      </c>
    </row>
    <row r="3187" spans="1:13" ht="15">
      <c r="A3187" s="28" t="s">
        <v>931</v>
      </c>
      <c r="B3187" s="278" t="s">
        <v>2011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77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77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77"/>
        <v>280.8</v>
      </c>
    </row>
    <row r="3190" spans="1:13" ht="15">
      <c r="A3190" s="28" t="s">
        <v>934</v>
      </c>
      <c r="B3190" s="278" t="s">
        <v>2030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77"/>
        <v>245.79999999999927</v>
      </c>
    </row>
    <row r="3191" spans="1:13" ht="15">
      <c r="A3191" s="28" t="s">
        <v>935</v>
      </c>
      <c r="B3191" s="278" t="s">
        <v>2054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77"/>
        <v>204.69999999999891</v>
      </c>
    </row>
    <row r="3192" spans="1:13" ht="15">
      <c r="A3192" s="28" t="s">
        <v>2505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77"/>
        <v>56.4</v>
      </c>
    </row>
    <row r="3193" spans="1:13" ht="15">
      <c r="A3193" s="28" t="s">
        <v>3323</v>
      </c>
      <c r="B3193" s="63" t="s">
        <v>3385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3324</v>
      </c>
      <c r="B3194" s="63" t="s">
        <v>3379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3325</v>
      </c>
      <c r="B3195" s="63" t="s">
        <v>3378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3326</v>
      </c>
      <c r="B3196" s="63" t="s">
        <v>3394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3327</v>
      </c>
      <c r="B3197" s="63" t="s">
        <v>3393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3328</v>
      </c>
      <c r="B3198" s="63" t="s">
        <v>3381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3329</v>
      </c>
      <c r="B3199" s="63" t="s">
        <v>3375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3330</v>
      </c>
      <c r="B3200" s="63" t="s">
        <v>3406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3331</v>
      </c>
      <c r="B3201" s="278" t="s">
        <v>3374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3332</v>
      </c>
      <c r="B3202" s="63" t="s">
        <v>3390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3333</v>
      </c>
      <c r="B3203" s="63" t="s">
        <v>3387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3334</v>
      </c>
      <c r="B3204" s="63" t="s">
        <v>3402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3335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3336</v>
      </c>
      <c r="B3206" s="63" t="s">
        <v>3403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3337</v>
      </c>
      <c r="B3207" s="63" t="s">
        <v>3382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3338</v>
      </c>
      <c r="B3208" s="63" t="s">
        <v>3376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3339</v>
      </c>
      <c r="B3209" s="63" t="s">
        <v>3383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3340</v>
      </c>
      <c r="B3210" s="63" t="s">
        <v>3380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3341</v>
      </c>
      <c r="B3211" s="63" t="s">
        <v>3391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3342</v>
      </c>
      <c r="B3212" s="63" t="s">
        <v>3386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3343</v>
      </c>
      <c r="B3213" s="278" t="s">
        <v>3373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3344</v>
      </c>
      <c r="B3214" s="63" t="s">
        <v>3388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3345</v>
      </c>
      <c r="B3215" s="63" t="s">
        <v>3407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3346</v>
      </c>
      <c r="B3216" s="63" t="s">
        <v>3377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4138</v>
      </c>
      <c r="B3217" s="63" t="s">
        <v>3384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4139</v>
      </c>
      <c r="B3218" s="63" t="s">
        <v>3405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4140</v>
      </c>
      <c r="B3219" s="63" t="s">
        <v>3389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78">SUM(E3226:K3226)</f>
        <v>4385.5500000000011</v>
      </c>
      <c r="O3226" t="s">
        <v>360</v>
      </c>
      <c r="R3226" s="21" t="s">
        <v>2729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78"/>
        <v>4143.25</v>
      </c>
      <c r="O3227" t="s">
        <v>2730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78"/>
        <v>4119.6500000000024</v>
      </c>
      <c r="O3228" t="s">
        <v>2731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8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8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8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8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8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78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8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8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8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8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78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78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8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8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8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78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8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78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8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78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8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78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8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8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8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78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8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8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8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9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79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9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9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9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9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9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9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79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79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9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9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9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9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79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79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9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79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9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9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9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9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2013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9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2010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9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2012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9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9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2006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9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79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2015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9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2014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9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9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9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80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2022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80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80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80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80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80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80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80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2007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80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80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80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80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2029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80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80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80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2031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80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2027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80"/>
        <v>462.79999999999927</v>
      </c>
    </row>
    <row r="3307" spans="1:23" ht="15">
      <c r="A3307" s="28" t="s">
        <v>917</v>
      </c>
      <c r="B3307" s="278" t="s">
        <v>2054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80"/>
        <v>438</v>
      </c>
    </row>
    <row r="3308" spans="1:23" ht="15">
      <c r="A3308" s="28" t="s">
        <v>918</v>
      </c>
      <c r="B3308" s="278" t="s">
        <v>2011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80"/>
        <v>429.00000000000182</v>
      </c>
    </row>
    <row r="3309" spans="1:23" ht="15">
      <c r="A3309" s="28" t="s">
        <v>919</v>
      </c>
      <c r="B3309" s="278" t="s">
        <v>2032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80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80"/>
        <v>410.10000000000764</v>
      </c>
    </row>
    <row r="3311" spans="1:23" ht="15">
      <c r="A3311" s="28" t="s">
        <v>921</v>
      </c>
      <c r="B3311" s="278" t="s">
        <v>2008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80"/>
        <v>381.79999999999382</v>
      </c>
    </row>
    <row r="3312" spans="1:23" ht="15">
      <c r="A3312" s="28" t="s">
        <v>922</v>
      </c>
      <c r="B3312" s="278" t="s">
        <v>2161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80"/>
        <v>372.69999999999891</v>
      </c>
    </row>
    <row r="3313" spans="1:13" ht="15">
      <c r="A3313" s="28" t="s">
        <v>923</v>
      </c>
      <c r="B3313" s="278" t="s">
        <v>2057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80"/>
        <v>334.80000000000291</v>
      </c>
    </row>
    <row r="3314" spans="1:13" ht="15">
      <c r="A3314" s="28" t="s">
        <v>924</v>
      </c>
      <c r="B3314" s="278" t="s">
        <v>2033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80"/>
        <v>330.90000000000146</v>
      </c>
    </row>
    <row r="3315" spans="1:13" ht="15">
      <c r="A3315" s="28" t="s">
        <v>925</v>
      </c>
      <c r="B3315" s="278" t="s">
        <v>2034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80"/>
        <v>301.69999999999709</v>
      </c>
    </row>
    <row r="3316" spans="1:13" ht="15">
      <c r="A3316" s="28" t="s">
        <v>926</v>
      </c>
      <c r="B3316" s="278" t="s">
        <v>4520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80"/>
        <v>296.20000000000073</v>
      </c>
    </row>
    <row r="3317" spans="1:13" ht="15">
      <c r="A3317" s="28" t="s">
        <v>927</v>
      </c>
      <c r="B3317" s="278" t="s">
        <v>2028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80"/>
        <v>289.30000000000291</v>
      </c>
    </row>
    <row r="3318" spans="1:13" ht="15">
      <c r="A3318" s="28" t="s">
        <v>928</v>
      </c>
      <c r="B3318" s="278" t="s">
        <v>2056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80"/>
        <v>229.60000000000582</v>
      </c>
    </row>
    <row r="3319" spans="1:13" ht="15">
      <c r="A3319" s="28" t="s">
        <v>929</v>
      </c>
      <c r="B3319" s="278" t="s">
        <v>2030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80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80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80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80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80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80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80"/>
        <v>0</v>
      </c>
    </row>
    <row r="3326" spans="1:13" ht="15">
      <c r="A3326" s="28" t="s">
        <v>2505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80"/>
        <v>0</v>
      </c>
    </row>
    <row r="3327" spans="1:13" ht="15">
      <c r="A3327" s="28" t="s">
        <v>3323</v>
      </c>
      <c r="B3327" s="63" t="s">
        <v>3385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3324</v>
      </c>
      <c r="B3328" s="63" t="s">
        <v>3379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3325</v>
      </c>
      <c r="B3329" s="63" t="s">
        <v>3378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3326</v>
      </c>
      <c r="B3330" s="63" t="s">
        <v>3394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3327</v>
      </c>
      <c r="B3331" s="63" t="s">
        <v>3393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3328</v>
      </c>
      <c r="B3332" s="63" t="s">
        <v>3381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3329</v>
      </c>
      <c r="B3333" s="63" t="s">
        <v>3375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3330</v>
      </c>
      <c r="B3334" s="63" t="s">
        <v>3406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3331</v>
      </c>
      <c r="B3335" s="278" t="s">
        <v>3374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3332</v>
      </c>
      <c r="B3336" s="63" t="s">
        <v>3390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3333</v>
      </c>
      <c r="B3337" s="63" t="s">
        <v>3387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3334</v>
      </c>
      <c r="B3338" s="63" t="s">
        <v>3402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3335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3336</v>
      </c>
      <c r="B3340" s="63" t="s">
        <v>3403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3337</v>
      </c>
      <c r="B3341" s="63" t="s">
        <v>3382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3338</v>
      </c>
      <c r="B3342" s="63" t="s">
        <v>3376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3339</v>
      </c>
      <c r="B3343" s="63" t="s">
        <v>3383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3340</v>
      </c>
      <c r="B3344" s="63" t="s">
        <v>3380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3341</v>
      </c>
      <c r="B3345" s="63" t="s">
        <v>3391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3342</v>
      </c>
      <c r="B3346" s="63" t="s">
        <v>3386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3343</v>
      </c>
      <c r="B3347" s="278" t="s">
        <v>3373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3344</v>
      </c>
      <c r="B3348" s="63" t="s">
        <v>3388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3345</v>
      </c>
      <c r="B3349" s="63" t="s">
        <v>3407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3346</v>
      </c>
      <c r="B3350" s="63" t="s">
        <v>3377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4138</v>
      </c>
      <c r="B3351" s="63" t="s">
        <v>3384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4139</v>
      </c>
      <c r="B3352" s="63" t="s">
        <v>3405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4140</v>
      </c>
      <c r="B3353" s="63" t="s">
        <v>3389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81">SUM(E3360:K3360)</f>
        <v>27818.600000000049</v>
      </c>
      <c r="O3360" t="s">
        <v>1807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81"/>
        <v>26802.099999999995</v>
      </c>
      <c r="O3361" t="s">
        <v>2778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81"/>
        <v>26665.200000000052</v>
      </c>
      <c r="O3362" t="s">
        <v>2764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81"/>
        <v>25732.400000000103</v>
      </c>
      <c r="O3363" t="s">
        <v>2488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81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81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81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81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81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81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81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81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81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81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81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81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81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81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81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81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81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81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81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81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81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81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81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81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81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81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81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81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82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82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82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82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82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82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82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82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82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82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82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82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82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82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82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82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82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82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82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82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82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82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82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82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82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82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82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82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82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82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82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82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2012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83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2006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83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2015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83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83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2010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83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2013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83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2022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83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83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83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2011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83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83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2014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83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2032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83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83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4520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83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83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2161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83"/>
        <v>3893.1000000000804</v>
      </c>
      <c r="X3440" s="67"/>
    </row>
    <row r="3441" spans="1:13" ht="15">
      <c r="A3441" s="28" t="s">
        <v>917</v>
      </c>
      <c r="B3441" s="278" t="s">
        <v>2031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83"/>
        <v>3739.400000000016</v>
      </c>
    </row>
    <row r="3442" spans="1:13" ht="15">
      <c r="A3442" s="28" t="s">
        <v>918</v>
      </c>
      <c r="B3442" s="278" t="s">
        <v>2007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83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83"/>
        <v>3695.1000000000022</v>
      </c>
    </row>
    <row r="3444" spans="1:13" ht="15">
      <c r="A3444" s="28" t="s">
        <v>920</v>
      </c>
      <c r="B3444" s="278" t="s">
        <v>2029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83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83"/>
        <v>3525.3500000000022</v>
      </c>
    </row>
    <row r="3446" spans="1:13" ht="15">
      <c r="A3446" s="28" t="s">
        <v>922</v>
      </c>
      <c r="B3446" s="278" t="s">
        <v>2027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83"/>
        <v>3417.6999999999989</v>
      </c>
    </row>
    <row r="3447" spans="1:13" ht="15">
      <c r="A3447" s="28" t="s">
        <v>923</v>
      </c>
      <c r="B3447" s="278" t="s">
        <v>2034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83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83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83"/>
        <v>2970.8000000000011</v>
      </c>
    </row>
    <row r="3450" spans="1:13" ht="15">
      <c r="A3450" s="28" t="s">
        <v>926</v>
      </c>
      <c r="B3450" s="278" t="s">
        <v>2033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83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83"/>
        <v>2958</v>
      </c>
    </row>
    <row r="3452" spans="1:13" ht="15">
      <c r="A3452" s="28" t="s">
        <v>928</v>
      </c>
      <c r="B3452" s="278" t="s">
        <v>2054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83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83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83"/>
        <v>2604.0499999999993</v>
      </c>
    </row>
    <row r="3455" spans="1:13" ht="15">
      <c r="A3455" s="28" t="s">
        <v>931</v>
      </c>
      <c r="B3455" s="278" t="s">
        <v>2008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83"/>
        <v>2458.3999999998978</v>
      </c>
    </row>
    <row r="3456" spans="1:13" ht="15">
      <c r="A3456" s="28" t="s">
        <v>932</v>
      </c>
      <c r="B3456" s="278" t="s">
        <v>2030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83"/>
        <v>2373.4000000000597</v>
      </c>
    </row>
    <row r="3457" spans="1:13" ht="15">
      <c r="A3457" s="28" t="s">
        <v>933</v>
      </c>
      <c r="B3457" s="278" t="s">
        <v>2057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83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83"/>
        <v>2154.899999999996</v>
      </c>
    </row>
    <row r="3459" spans="1:13" ht="15">
      <c r="A3459" s="28" t="s">
        <v>935</v>
      </c>
      <c r="B3459" s="278" t="s">
        <v>2028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83"/>
        <v>1607.9000000000251</v>
      </c>
    </row>
    <row r="3460" spans="1:13" ht="15">
      <c r="A3460" s="28" t="s">
        <v>2505</v>
      </c>
      <c r="B3460" s="278" t="s">
        <v>2056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83"/>
        <v>1494.6000000000931</v>
      </c>
    </row>
    <row r="3461" spans="1:13" ht="15">
      <c r="A3461" s="28" t="s">
        <v>3323</v>
      </c>
      <c r="B3461" s="63" t="s">
        <v>3385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3324</v>
      </c>
      <c r="B3462" s="63" t="s">
        <v>3379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3325</v>
      </c>
      <c r="B3463" s="63" t="s">
        <v>3378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3326</v>
      </c>
      <c r="B3464" s="63" t="s">
        <v>3394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3327</v>
      </c>
      <c r="B3465" s="63" t="s">
        <v>3393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3328</v>
      </c>
      <c r="B3466" s="63" t="s">
        <v>3381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3329</v>
      </c>
      <c r="B3467" s="63" t="s">
        <v>3375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3330</v>
      </c>
      <c r="B3468" s="63" t="s">
        <v>3406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3331</v>
      </c>
      <c r="B3469" s="278" t="s">
        <v>3374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3332</v>
      </c>
      <c r="B3470" s="63" t="s">
        <v>3390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3333</v>
      </c>
      <c r="B3471" s="63" t="s">
        <v>3387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3334</v>
      </c>
      <c r="B3472" s="63" t="s">
        <v>3402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3335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3336</v>
      </c>
      <c r="B3474" s="63" t="s">
        <v>3403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3337</v>
      </c>
      <c r="B3475" s="63" t="s">
        <v>3382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3338</v>
      </c>
      <c r="B3476" s="63" t="s">
        <v>3376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3339</v>
      </c>
      <c r="B3477" s="63" t="s">
        <v>3383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3340</v>
      </c>
      <c r="B3478" s="63" t="s">
        <v>3380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3341</v>
      </c>
      <c r="B3479" s="63" t="s">
        <v>3391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3342</v>
      </c>
      <c r="B3480" s="63" t="s">
        <v>3386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3343</v>
      </c>
      <c r="B3481" s="278" t="s">
        <v>3373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3344</v>
      </c>
      <c r="B3482" s="63" t="s">
        <v>3388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3345</v>
      </c>
      <c r="B3483" s="63" t="s">
        <v>3407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3346</v>
      </c>
      <c r="B3484" s="63" t="s">
        <v>3377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4138</v>
      </c>
      <c r="B3485" s="63" t="s">
        <v>3384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4139</v>
      </c>
      <c r="B3486" s="63" t="s">
        <v>3405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4140</v>
      </c>
      <c r="B3487" s="63" t="s">
        <v>3389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84">SUM(E3494:K3494)</f>
        <v>964.60000000000628</v>
      </c>
      <c r="O3494" t="s">
        <v>372</v>
      </c>
      <c r="R3494" t="s">
        <v>1808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84"/>
        <v>856.79999999999632</v>
      </c>
      <c r="O3495" t="s">
        <v>356</v>
      </c>
      <c r="R3495" t="s">
        <v>1808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84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84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84"/>
        <v>563.29999999999563</v>
      </c>
      <c r="O3498" t="s">
        <v>370</v>
      </c>
      <c r="R3498" t="s">
        <v>1808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84"/>
        <v>535.9</v>
      </c>
      <c r="O3499" t="s">
        <v>282</v>
      </c>
      <c r="R3499" t="s">
        <v>1808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84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84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84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84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84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84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84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84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84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84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84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84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84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84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84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84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84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84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84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84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84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84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84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84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84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84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5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5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5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5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5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5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5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5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5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5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5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5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85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5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5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5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5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5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5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85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5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5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85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5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85"/>
        <v>2.4</v>
      </c>
    </row>
    <row r="3551" spans="1:22" ht="15">
      <c r="A3551" s="28" t="s">
        <v>798</v>
      </c>
      <c r="B3551" s="278" t="s">
        <v>2014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85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85"/>
        <v>0</v>
      </c>
    </row>
    <row r="3553" spans="1:13" ht="15">
      <c r="A3553" s="28" t="s">
        <v>802</v>
      </c>
      <c r="B3553" s="278" t="s">
        <v>2007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85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85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85"/>
        <v>0</v>
      </c>
    </row>
    <row r="3556" spans="1:13" ht="15">
      <c r="A3556" s="28" t="s">
        <v>898</v>
      </c>
      <c r="B3556" s="278" t="s">
        <v>2013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85"/>
        <v>0</v>
      </c>
    </row>
    <row r="3557" spans="1:13" ht="15">
      <c r="A3557" s="28" t="s">
        <v>899</v>
      </c>
      <c r="B3557" s="278" t="s">
        <v>2027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85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6">SUM(E3558:K3558)</f>
        <v>0</v>
      </c>
    </row>
    <row r="3559" spans="1:13" ht="15">
      <c r="A3559" s="28" t="s">
        <v>901</v>
      </c>
      <c r="B3559" s="278" t="s">
        <v>2057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86"/>
        <v>0</v>
      </c>
    </row>
    <row r="3560" spans="1:13" ht="15">
      <c r="A3560" s="28" t="s">
        <v>902</v>
      </c>
      <c r="B3560" s="278" t="s">
        <v>2010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86"/>
        <v>0</v>
      </c>
    </row>
    <row r="3561" spans="1:13" ht="15">
      <c r="A3561" s="28" t="s">
        <v>903</v>
      </c>
      <c r="B3561" s="278" t="s">
        <v>2028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86"/>
        <v>0</v>
      </c>
    </row>
    <row r="3562" spans="1:13" ht="15">
      <c r="A3562" s="28" t="s">
        <v>904</v>
      </c>
      <c r="B3562" s="278" t="s">
        <v>2008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86"/>
        <v>0</v>
      </c>
    </row>
    <row r="3563" spans="1:13" ht="15">
      <c r="A3563" s="28" t="s">
        <v>905</v>
      </c>
      <c r="B3563" s="278" t="s">
        <v>2022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86"/>
        <v>0</v>
      </c>
    </row>
    <row r="3564" spans="1:13" ht="15">
      <c r="A3564" s="28" t="s">
        <v>906</v>
      </c>
      <c r="B3564" s="278" t="s">
        <v>2029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86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86"/>
        <v>0</v>
      </c>
    </row>
    <row r="3566" spans="1:13" ht="15">
      <c r="A3566" s="28" t="s">
        <v>908</v>
      </c>
      <c r="B3566" s="278" t="s">
        <v>2015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86"/>
        <v>0</v>
      </c>
    </row>
    <row r="3567" spans="1:13" ht="15">
      <c r="A3567" s="28" t="s">
        <v>909</v>
      </c>
      <c r="B3567" s="278" t="s">
        <v>2011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86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86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86"/>
        <v>0</v>
      </c>
    </row>
    <row r="3570" spans="1:13" ht="15">
      <c r="A3570" s="28" t="s">
        <v>912</v>
      </c>
      <c r="B3570" s="278" t="s">
        <v>4520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86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86"/>
        <v>0</v>
      </c>
    </row>
    <row r="3572" spans="1:13" ht="15">
      <c r="A3572" s="28" t="s">
        <v>914</v>
      </c>
      <c r="B3572" s="278" t="s">
        <v>2030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86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86"/>
        <v>0</v>
      </c>
    </row>
    <row r="3574" spans="1:13" ht="15">
      <c r="A3574" s="28" t="s">
        <v>916</v>
      </c>
      <c r="B3574" s="278" t="s">
        <v>2031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86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86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86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86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86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86"/>
        <v>0</v>
      </c>
    </row>
    <row r="3580" spans="1:13" ht="15">
      <c r="A3580" s="28" t="s">
        <v>922</v>
      </c>
      <c r="B3580" s="278" t="s">
        <v>2032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86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86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86"/>
        <v>0</v>
      </c>
    </row>
    <row r="3583" spans="1:13" ht="15">
      <c r="A3583" s="28" t="s">
        <v>925</v>
      </c>
      <c r="B3583" s="278" t="s">
        <v>2054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86"/>
        <v>0</v>
      </c>
    </row>
    <row r="3584" spans="1:13" ht="15">
      <c r="A3584" s="28" t="s">
        <v>926</v>
      </c>
      <c r="B3584" s="278" t="s">
        <v>2056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86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86"/>
        <v>0</v>
      </c>
    </row>
    <row r="3586" spans="1:13" ht="15">
      <c r="A3586" s="28" t="s">
        <v>928</v>
      </c>
      <c r="B3586" s="278" t="s">
        <v>2161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86"/>
        <v>0</v>
      </c>
    </row>
    <row r="3587" spans="1:13" ht="15">
      <c r="A3587" s="28" t="s">
        <v>929</v>
      </c>
      <c r="B3587" s="278" t="s">
        <v>2033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86"/>
        <v>0</v>
      </c>
    </row>
    <row r="3588" spans="1:13" ht="15">
      <c r="A3588" s="28" t="s">
        <v>930</v>
      </c>
      <c r="B3588" s="278" t="s">
        <v>2006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86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86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86"/>
        <v>0</v>
      </c>
    </row>
    <row r="3591" spans="1:13" ht="15">
      <c r="A3591" s="28" t="s">
        <v>933</v>
      </c>
      <c r="B3591" s="278" t="s">
        <v>2034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86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86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86"/>
        <v>0</v>
      </c>
    </row>
    <row r="3594" spans="1:13" ht="15">
      <c r="A3594" s="28" t="s">
        <v>2505</v>
      </c>
      <c r="B3594" s="278" t="s">
        <v>2012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86"/>
        <v>0</v>
      </c>
    </row>
    <row r="3595" spans="1:13" ht="15">
      <c r="A3595" s="28" t="s">
        <v>3323</v>
      </c>
      <c r="B3595" s="63" t="s">
        <v>3385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3324</v>
      </c>
      <c r="B3596" s="63" t="s">
        <v>3379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3325</v>
      </c>
      <c r="B3597" s="63" t="s">
        <v>3378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3326</v>
      </c>
      <c r="B3598" s="63" t="s">
        <v>3394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3327</v>
      </c>
      <c r="B3599" s="63" t="s">
        <v>3393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3328</v>
      </c>
      <c r="B3600" s="63" t="s">
        <v>3381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3329</v>
      </c>
      <c r="B3601" s="63" t="s">
        <v>3375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3330</v>
      </c>
      <c r="B3602" s="63" t="s">
        <v>3406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3331</v>
      </c>
      <c r="B3603" s="278" t="s">
        <v>3374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3332</v>
      </c>
      <c r="B3604" s="63" t="s">
        <v>3390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3333</v>
      </c>
      <c r="B3605" s="63" t="s">
        <v>3387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3334</v>
      </c>
      <c r="B3606" s="63" t="s">
        <v>3402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3335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3336</v>
      </c>
      <c r="B3608" s="63" t="s">
        <v>3403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3337</v>
      </c>
      <c r="B3609" s="63" t="s">
        <v>3382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3338</v>
      </c>
      <c r="B3610" s="63" t="s">
        <v>3376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3339</v>
      </c>
      <c r="B3611" s="63" t="s">
        <v>3383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3340</v>
      </c>
      <c r="B3612" s="63" t="s">
        <v>3380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3341</v>
      </c>
      <c r="B3613" s="63" t="s">
        <v>3391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3342</v>
      </c>
      <c r="B3614" s="63" t="s">
        <v>3386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3343</v>
      </c>
      <c r="B3615" s="278" t="s">
        <v>3373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3344</v>
      </c>
      <c r="B3616" s="63" t="s">
        <v>3388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3345</v>
      </c>
      <c r="B3617" s="63" t="s">
        <v>3407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3346</v>
      </c>
      <c r="B3618" s="63" t="s">
        <v>3377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4138</v>
      </c>
      <c r="B3619" s="63" t="s">
        <v>3384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4139</v>
      </c>
      <c r="B3620" s="63" t="s">
        <v>3405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4140</v>
      </c>
      <c r="B3621" s="63" t="s">
        <v>3389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7">SUM(E3628:K3628)</f>
        <v>2216.1000000000085</v>
      </c>
      <c r="O3628" t="s">
        <v>2784</v>
      </c>
      <c r="R3628" t="s">
        <v>2785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7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7"/>
        <v>2037.0000000000168</v>
      </c>
      <c r="O3630" t="s">
        <v>2489</v>
      </c>
      <c r="R3630" t="s">
        <v>1809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7"/>
        <v>1978.8999999999908</v>
      </c>
      <c r="O3631" t="s">
        <v>375</v>
      </c>
      <c r="R3631" t="s">
        <v>1809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7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7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7"/>
        <v>1857.9000000000008</v>
      </c>
      <c r="O3634" t="s">
        <v>2490</v>
      </c>
      <c r="R3634" s="21" t="s">
        <v>2491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7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7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7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7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7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7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7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7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87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7"/>
        <v>1310.9999999999986</v>
      </c>
      <c r="O3644" t="s">
        <v>322</v>
      </c>
      <c r="R3644" s="21" t="s">
        <v>1809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7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87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7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7"/>
        <v>1224.6999999999862</v>
      </c>
      <c r="O3648" t="s">
        <v>325</v>
      </c>
      <c r="R3648" t="s">
        <v>1809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7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7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7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87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7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7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7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7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7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87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87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8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88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8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88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88"/>
        <v>772.69999999999709</v>
      </c>
      <c r="O3664" t="s">
        <v>282</v>
      </c>
      <c r="R3664" s="21" t="s">
        <v>1809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8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8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8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88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2015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88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88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8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88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8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8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8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2022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88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2006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8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8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8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8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8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8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8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88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8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8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88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88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88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8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8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2034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89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9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9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2029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89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2012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9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2014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9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2031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89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2010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9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9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2013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9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2161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89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2032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89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2008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89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9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2011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9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2056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89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2027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89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89"/>
        <v>315.8</v>
      </c>
    </row>
    <row r="3710" spans="1:23" ht="15">
      <c r="A3710" s="28" t="s">
        <v>918</v>
      </c>
      <c r="B3710" s="278" t="s">
        <v>2007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9"/>
        <v>301.89999999999964</v>
      </c>
    </row>
    <row r="3711" spans="1:23" ht="15">
      <c r="A3711" s="28" t="s">
        <v>919</v>
      </c>
      <c r="B3711" s="278" t="s">
        <v>4520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89"/>
        <v>291.80000000000655</v>
      </c>
    </row>
    <row r="3712" spans="1:23" ht="15">
      <c r="A3712" s="28" t="s">
        <v>920</v>
      </c>
      <c r="B3712" s="278" t="s">
        <v>2028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89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89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89"/>
        <v>262.09999999999491</v>
      </c>
    </row>
    <row r="3715" spans="1:13" ht="15">
      <c r="A3715" s="28" t="s">
        <v>923</v>
      </c>
      <c r="B3715" s="278" t="s">
        <v>2054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89"/>
        <v>244.00000000000182</v>
      </c>
    </row>
    <row r="3716" spans="1:13" ht="15">
      <c r="A3716" s="28" t="s">
        <v>924</v>
      </c>
      <c r="B3716" s="278" t="s">
        <v>2057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89"/>
        <v>240.00000000000364</v>
      </c>
    </row>
    <row r="3717" spans="1:13" ht="15">
      <c r="A3717" s="28" t="s">
        <v>925</v>
      </c>
      <c r="B3717" s="278" t="s">
        <v>2033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89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89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89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89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89"/>
        <v>74.900000000001455</v>
      </c>
    </row>
    <row r="3722" spans="1:13" ht="15">
      <c r="A3722" s="28" t="s">
        <v>930</v>
      </c>
      <c r="B3722" s="278" t="s">
        <v>2030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89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89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89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89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89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89"/>
        <v>0</v>
      </c>
    </row>
    <row r="3728" spans="1:13" ht="15">
      <c r="A3728" s="28" t="s">
        <v>2505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89"/>
        <v>0</v>
      </c>
    </row>
    <row r="3729" spans="1:13" ht="15">
      <c r="A3729" s="28" t="s">
        <v>3323</v>
      </c>
      <c r="B3729" s="63" t="s">
        <v>3385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3324</v>
      </c>
      <c r="B3730" s="63" t="s">
        <v>3379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3325</v>
      </c>
      <c r="B3731" s="63" t="s">
        <v>3378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3326</v>
      </c>
      <c r="B3732" s="63" t="s">
        <v>3394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3327</v>
      </c>
      <c r="B3733" s="63" t="s">
        <v>3393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3328</v>
      </c>
      <c r="B3734" s="63" t="s">
        <v>3381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3329</v>
      </c>
      <c r="B3735" s="63" t="s">
        <v>3375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3330</v>
      </c>
      <c r="B3736" s="63" t="s">
        <v>3406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3331</v>
      </c>
      <c r="B3737" s="278" t="s">
        <v>3374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3332</v>
      </c>
      <c r="B3738" s="63" t="s">
        <v>3390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3333</v>
      </c>
      <c r="B3739" s="63" t="s">
        <v>3387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3334</v>
      </c>
      <c r="B3740" s="63" t="s">
        <v>3402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3335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3336</v>
      </c>
      <c r="B3742" s="63" t="s">
        <v>3403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3337</v>
      </c>
      <c r="B3743" s="63" t="s">
        <v>3382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3338</v>
      </c>
      <c r="B3744" s="63" t="s">
        <v>3376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3339</v>
      </c>
      <c r="B3745" s="63" t="s">
        <v>3383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3340</v>
      </c>
      <c r="B3746" s="63" t="s">
        <v>3380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3341</v>
      </c>
      <c r="B3747" s="63" t="s">
        <v>3391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3342</v>
      </c>
      <c r="B3748" s="63" t="s">
        <v>3386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3343</v>
      </c>
      <c r="B3749" s="278" t="s">
        <v>3373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3344</v>
      </c>
      <c r="B3750" s="63" t="s">
        <v>3388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3345</v>
      </c>
      <c r="B3751" s="63" t="s">
        <v>3407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3346</v>
      </c>
      <c r="B3752" s="63" t="s">
        <v>3377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4138</v>
      </c>
      <c r="B3753" s="63" t="s">
        <v>3384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4139</v>
      </c>
      <c r="B3754" s="63" t="s">
        <v>3405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4140</v>
      </c>
      <c r="B3755" s="63" t="s">
        <v>3389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2014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90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90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2007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90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90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90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90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2013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90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2027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90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90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90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90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90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90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2057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90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90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90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2010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90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90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2028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90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2008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90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90"/>
        <v>480.2</v>
      </c>
      <c r="O3783" t="s">
        <v>282</v>
      </c>
      <c r="R3783" t="s">
        <v>1810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90"/>
        <v>2470.5999999999904</v>
      </c>
      <c r="O3784" t="s">
        <v>356</v>
      </c>
      <c r="R3784" t="s">
        <v>1810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2022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90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90"/>
        <v>3095.350000000004</v>
      </c>
      <c r="O3786" t="s">
        <v>2492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2029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90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90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90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2015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90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90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90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90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90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90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2011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90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90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90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90"/>
        <v>1142.800000000002</v>
      </c>
      <c r="O3799" t="s">
        <v>282</v>
      </c>
      <c r="R3799" s="21" t="s">
        <v>1810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90"/>
        <v>1508.8999999999974</v>
      </c>
      <c r="O3800" t="s">
        <v>282</v>
      </c>
      <c r="R3800" s="21" t="s">
        <v>1810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90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90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90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90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90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4520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90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90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90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90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2030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90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90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2031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90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90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90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90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90"/>
        <v>2293.3500000000008</v>
      </c>
      <c r="O3816" t="s">
        <v>369</v>
      </c>
      <c r="R3816" s="21" t="s">
        <v>1810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90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90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90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90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90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90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2032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90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90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90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90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91">SUM(E3827:K3827)</f>
        <v>1823.2000000000089</v>
      </c>
      <c r="O3827" t="s">
        <v>282</v>
      </c>
      <c r="R3827" t="s">
        <v>1810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91"/>
        <v>2192.599999999999</v>
      </c>
      <c r="O3828" t="s">
        <v>282</v>
      </c>
      <c r="R3828" t="s">
        <v>1810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91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91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91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91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91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91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2054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91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91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91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2056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91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91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91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2161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91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91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2033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91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2006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91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91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91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91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91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91"/>
        <v>3027.6</v>
      </c>
      <c r="O3849" t="s">
        <v>2799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91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91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91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91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91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91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2034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91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91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91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91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91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91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2505</v>
      </c>
      <c r="B3862" s="278" t="s">
        <v>2012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91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3323</v>
      </c>
      <c r="B3863" s="63" t="s">
        <v>3385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3324</v>
      </c>
      <c r="B3864" s="63" t="s">
        <v>3379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3325</v>
      </c>
      <c r="B3865" s="63" t="s">
        <v>3378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3326</v>
      </c>
      <c r="B3866" s="63" t="s">
        <v>3394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3327</v>
      </c>
      <c r="B3867" s="63" t="s">
        <v>3393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3328</v>
      </c>
      <c r="B3868" s="63" t="s">
        <v>3381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3329</v>
      </c>
      <c r="B3869" s="63" t="s">
        <v>3375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3330</v>
      </c>
      <c r="B3870" s="63" t="s">
        <v>3406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3331</v>
      </c>
      <c r="B3871" s="278" t="s">
        <v>3374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3332</v>
      </c>
      <c r="B3872" s="63" t="s">
        <v>3390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3333</v>
      </c>
      <c r="B3873" s="63" t="s">
        <v>3387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3334</v>
      </c>
      <c r="B3874" s="63" t="s">
        <v>3402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3335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3336</v>
      </c>
      <c r="B3876" s="63" t="s">
        <v>3403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3337</v>
      </c>
      <c r="B3877" s="63" t="s">
        <v>3382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3338</v>
      </c>
      <c r="B3878" s="63" t="s">
        <v>3376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3339</v>
      </c>
      <c r="B3879" s="63" t="s">
        <v>3383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3340</v>
      </c>
      <c r="B3880" s="63" t="s">
        <v>3380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3341</v>
      </c>
      <c r="B3881" s="63" t="s">
        <v>3391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3342</v>
      </c>
      <c r="B3882" s="63" t="s">
        <v>3386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3343</v>
      </c>
      <c r="B3883" s="278" t="s">
        <v>3373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3344</v>
      </c>
      <c r="B3884" s="63" t="s">
        <v>3388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3345</v>
      </c>
      <c r="B3885" s="63" t="s">
        <v>3407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3346</v>
      </c>
      <c r="B3886" s="63" t="s">
        <v>3377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4138</v>
      </c>
      <c r="B3887" s="63" t="s">
        <v>3384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4139</v>
      </c>
      <c r="B3888" s="63" t="s">
        <v>3405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4140</v>
      </c>
      <c r="B3889" s="63" t="s">
        <v>3389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92">SUM(E3896:K3896)</f>
        <v>3035.6500000000128</v>
      </c>
      <c r="O3896" t="s">
        <v>372</v>
      </c>
      <c r="R3896" t="s">
        <v>1811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92"/>
        <v>2615.7000000000048</v>
      </c>
      <c r="O3897" t="s">
        <v>2481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92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92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92"/>
        <v>2439.1000000000017</v>
      </c>
      <c r="O3900" t="s">
        <v>372</v>
      </c>
      <c r="R3900" t="s">
        <v>1811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92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92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92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92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92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92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92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92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92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92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92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92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92"/>
        <v>1770.550000000012</v>
      </c>
      <c r="O3913" t="s">
        <v>325</v>
      </c>
      <c r="R3913" t="s">
        <v>1811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92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92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92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92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92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92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92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92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92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92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92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92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92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92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93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93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93"/>
        <v>1152.9999999999964</v>
      </c>
      <c r="O3930" t="s">
        <v>322</v>
      </c>
      <c r="R3930" s="21" t="s">
        <v>1811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93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93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93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93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93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93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93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93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93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93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93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93"/>
        <v>846.05</v>
      </c>
      <c r="O3942" t="s">
        <v>282</v>
      </c>
      <c r="R3942" t="s">
        <v>1811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93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93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93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93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93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93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93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93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93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93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93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93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93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93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2008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93"/>
        <v>586.10000000000218</v>
      </c>
      <c r="O3957" t="s">
        <v>282</v>
      </c>
      <c r="R3957" s="21" t="s">
        <v>1811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93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93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94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94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94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94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94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94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94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94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2013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94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94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94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94"/>
        <v>269.80000000000109</v>
      </c>
    </row>
    <row r="3972" spans="1:13" ht="15">
      <c r="A3972" s="28" t="s">
        <v>912</v>
      </c>
      <c r="B3972" s="278" t="s">
        <v>2010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94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94"/>
        <v>251.90000000000327</v>
      </c>
    </row>
    <row r="3974" spans="1:13" ht="15">
      <c r="A3974" s="28" t="s">
        <v>914</v>
      </c>
      <c r="B3974" s="278" t="s">
        <v>2011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94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94"/>
        <v>239.00000000000182</v>
      </c>
    </row>
    <row r="3976" spans="1:13" ht="15">
      <c r="A3976" s="28" t="s">
        <v>916</v>
      </c>
      <c r="B3976" s="278" t="s">
        <v>2007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94"/>
        <v>226.19999999999891</v>
      </c>
    </row>
    <row r="3977" spans="1:13" ht="15">
      <c r="A3977" s="28" t="s">
        <v>917</v>
      </c>
      <c r="B3977" s="278" t="s">
        <v>2006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94"/>
        <v>205.19999999998618</v>
      </c>
    </row>
    <row r="3978" spans="1:13" ht="15">
      <c r="A3978" s="28" t="s">
        <v>918</v>
      </c>
      <c r="B3978" s="278" t="s">
        <v>2012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94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94"/>
        <v>175.299999999992</v>
      </c>
    </row>
    <row r="3980" spans="1:13" ht="15">
      <c r="A3980" s="28" t="s">
        <v>920</v>
      </c>
      <c r="B3980" s="278" t="s">
        <v>2015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94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94"/>
        <v>138.59999999999854</v>
      </c>
    </row>
    <row r="3982" spans="1:13" ht="15">
      <c r="A3982" s="28" t="s">
        <v>922</v>
      </c>
      <c r="B3982" s="278" t="s">
        <v>2022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94"/>
        <v>135.799999999992</v>
      </c>
    </row>
    <row r="3983" spans="1:13" ht="15">
      <c r="A3983" s="28" t="s">
        <v>923</v>
      </c>
      <c r="B3983" s="278" t="s">
        <v>2014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94"/>
        <v>76.199999999993452</v>
      </c>
    </row>
    <row r="3984" spans="1:13" ht="15">
      <c r="A3984" s="28" t="s">
        <v>924</v>
      </c>
      <c r="B3984" s="278" t="s">
        <v>2027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94"/>
        <v>0</v>
      </c>
    </row>
    <row r="3985" spans="1:13" ht="15">
      <c r="A3985" s="28" t="s">
        <v>925</v>
      </c>
      <c r="B3985" s="278" t="s">
        <v>2057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94"/>
        <v>0</v>
      </c>
    </row>
    <row r="3986" spans="1:13" ht="15">
      <c r="A3986" s="28" t="s">
        <v>926</v>
      </c>
      <c r="B3986" s="278" t="s">
        <v>2028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94"/>
        <v>0</v>
      </c>
    </row>
    <row r="3987" spans="1:13" ht="15">
      <c r="A3987" s="28" t="s">
        <v>927</v>
      </c>
      <c r="B3987" s="278" t="s">
        <v>2029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94"/>
        <v>0</v>
      </c>
    </row>
    <row r="3988" spans="1:13" ht="15">
      <c r="A3988" s="28" t="s">
        <v>928</v>
      </c>
      <c r="B3988" s="278" t="s">
        <v>4520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94"/>
        <v>0</v>
      </c>
    </row>
    <row r="3989" spans="1:13" ht="15">
      <c r="A3989" s="28" t="s">
        <v>929</v>
      </c>
      <c r="B3989" s="278" t="s">
        <v>2030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94"/>
        <v>0</v>
      </c>
    </row>
    <row r="3990" spans="1:13" ht="15">
      <c r="A3990" s="28" t="s">
        <v>930</v>
      </c>
      <c r="B3990" s="278" t="s">
        <v>2031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94"/>
        <v>0</v>
      </c>
    </row>
    <row r="3991" spans="1:13" ht="15">
      <c r="A3991" s="28" t="s">
        <v>931</v>
      </c>
      <c r="B3991" s="278" t="s">
        <v>2032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94"/>
        <v>0</v>
      </c>
    </row>
    <row r="3992" spans="1:13" ht="15">
      <c r="A3992" s="28" t="s">
        <v>932</v>
      </c>
      <c r="B3992" s="278" t="s">
        <v>2054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94"/>
        <v>0</v>
      </c>
    </row>
    <row r="3993" spans="1:13" ht="15">
      <c r="A3993" s="28" t="s">
        <v>933</v>
      </c>
      <c r="B3993" s="278" t="s">
        <v>2056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94"/>
        <v>0</v>
      </c>
    </row>
    <row r="3994" spans="1:13" ht="15">
      <c r="A3994" s="28" t="s">
        <v>934</v>
      </c>
      <c r="B3994" s="278" t="s">
        <v>2161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94"/>
        <v>0</v>
      </c>
    </row>
    <row r="3995" spans="1:13" ht="15">
      <c r="A3995" s="28" t="s">
        <v>935</v>
      </c>
      <c r="B3995" s="278" t="s">
        <v>2033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94"/>
        <v>0</v>
      </c>
    </row>
    <row r="3996" spans="1:13" ht="15">
      <c r="A3996" s="28" t="s">
        <v>2505</v>
      </c>
      <c r="B3996" s="278" t="s">
        <v>2034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94"/>
        <v>0</v>
      </c>
    </row>
    <row r="3997" spans="1:13" ht="15">
      <c r="A3997" s="28" t="s">
        <v>3323</v>
      </c>
      <c r="B3997" s="63" t="s">
        <v>3385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3324</v>
      </c>
      <c r="B3998" s="63" t="s">
        <v>3379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3325</v>
      </c>
      <c r="B3999" s="63" t="s">
        <v>3378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3326</v>
      </c>
      <c r="B4000" s="63" t="s">
        <v>3394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3327</v>
      </c>
      <c r="B4001" s="63" t="s">
        <v>3393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3328</v>
      </c>
      <c r="B4002" s="63" t="s">
        <v>3381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3329</v>
      </c>
      <c r="B4003" s="63" t="s">
        <v>3375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3330</v>
      </c>
      <c r="B4004" s="63" t="s">
        <v>3406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3331</v>
      </c>
      <c r="B4005" s="278" t="s">
        <v>3374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3332</v>
      </c>
      <c r="B4006" s="63" t="s">
        <v>3390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3333</v>
      </c>
      <c r="B4007" s="63" t="s">
        <v>3387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3334</v>
      </c>
      <c r="B4008" s="63" t="s">
        <v>3402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3335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3336</v>
      </c>
      <c r="B4010" s="63" t="s">
        <v>3403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3337</v>
      </c>
      <c r="B4011" s="63" t="s">
        <v>3382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3338</v>
      </c>
      <c r="B4012" s="63" t="s">
        <v>3376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3339</v>
      </c>
      <c r="B4013" s="63" t="s">
        <v>3383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3340</v>
      </c>
      <c r="B4014" s="63" t="s">
        <v>3380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3341</v>
      </c>
      <c r="B4015" s="63" t="s">
        <v>3391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3342</v>
      </c>
      <c r="B4016" s="63" t="s">
        <v>3386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3343</v>
      </c>
      <c r="B4017" s="278" t="s">
        <v>3373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3344</v>
      </c>
      <c r="B4018" s="63" t="s">
        <v>3388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3345</v>
      </c>
      <c r="B4019" s="63" t="s">
        <v>3407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3346</v>
      </c>
      <c r="B4020" s="63" t="s">
        <v>3377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4138</v>
      </c>
      <c r="B4021" s="63" t="s">
        <v>3384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4139</v>
      </c>
      <c r="B4022" s="63" t="s">
        <v>3405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4140</v>
      </c>
      <c r="B4023" s="63" t="s">
        <v>3389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5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5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5"/>
        <v>1593.4000000000008</v>
      </c>
      <c r="O4032" t="s">
        <v>302</v>
      </c>
      <c r="R4032" t="s">
        <v>1812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95"/>
        <v>1542.0000000000095</v>
      </c>
      <c r="O4033" t="s">
        <v>339</v>
      </c>
      <c r="R4033" t="s">
        <v>1812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5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95"/>
        <v>1453.4000000000167</v>
      </c>
      <c r="O4035" t="s">
        <v>2828</v>
      </c>
      <c r="R4035" t="s">
        <v>1812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5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5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95"/>
        <v>1407.2</v>
      </c>
      <c r="O4038" t="s">
        <v>282</v>
      </c>
      <c r="R4038" t="s">
        <v>1812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95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5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5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95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95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5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5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5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5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95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5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5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95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95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5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95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5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5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5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5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5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95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5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6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6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6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6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6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6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6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96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6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6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96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6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6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6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6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6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96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96"/>
        <v>419</v>
      </c>
      <c r="O4079" t="s">
        <v>282</v>
      </c>
      <c r="R4079" s="21" t="s">
        <v>1812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6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2011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96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6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96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2161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96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6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96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96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2027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96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96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96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2022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96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96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96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2010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7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97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2034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97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97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7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2015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97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97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4520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97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97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2012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97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2013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97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97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2031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97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2007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97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2014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97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97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97"/>
        <v>187.29999999999563</v>
      </c>
    </row>
    <row r="4111" spans="1:23" ht="15">
      <c r="A4111" s="28" t="s">
        <v>917</v>
      </c>
      <c r="B4111" s="278" t="s">
        <v>2029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97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97"/>
        <v>162.49999999999636</v>
      </c>
      <c r="R4112" s="225"/>
    </row>
    <row r="4113" spans="1:13" ht="15">
      <c r="A4113" s="28" t="s">
        <v>919</v>
      </c>
      <c r="B4113" s="278" t="s">
        <v>2006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97"/>
        <v>143.60000000000946</v>
      </c>
    </row>
    <row r="4114" spans="1:13" ht="15">
      <c r="A4114" s="28" t="s">
        <v>920</v>
      </c>
      <c r="B4114" s="278" t="s">
        <v>2032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97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97"/>
        <v>112.50000000000364</v>
      </c>
    </row>
    <row r="4116" spans="1:13" ht="15">
      <c r="A4116" s="28" t="s">
        <v>922</v>
      </c>
      <c r="B4116" s="278" t="s">
        <v>2028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97"/>
        <v>100.69999999999709</v>
      </c>
    </row>
    <row r="4117" spans="1:13" ht="15">
      <c r="A4117" s="28" t="s">
        <v>923</v>
      </c>
      <c r="B4117" s="278" t="s">
        <v>2054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97"/>
        <v>91</v>
      </c>
    </row>
    <row r="4118" spans="1:13" ht="15">
      <c r="A4118" s="28" t="s">
        <v>924</v>
      </c>
      <c r="B4118" s="278" t="s">
        <v>2056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97"/>
        <v>85.600000000000364</v>
      </c>
    </row>
    <row r="4119" spans="1:13" ht="15">
      <c r="A4119" s="28" t="s">
        <v>925</v>
      </c>
      <c r="B4119" s="278" t="s">
        <v>2057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97"/>
        <v>60.199999999998909</v>
      </c>
    </row>
    <row r="4120" spans="1:13" ht="15">
      <c r="A4120" s="28" t="s">
        <v>926</v>
      </c>
      <c r="B4120" s="278" t="s">
        <v>2033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97"/>
        <v>55.200000000004366</v>
      </c>
    </row>
    <row r="4121" spans="1:13" ht="15">
      <c r="A4121" s="28" t="s">
        <v>927</v>
      </c>
      <c r="B4121" s="278" t="s">
        <v>2030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97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97"/>
        <v>25.200000000000728</v>
      </c>
    </row>
    <row r="4123" spans="1:13" ht="15">
      <c r="A4123" s="28" t="s">
        <v>929</v>
      </c>
      <c r="B4123" s="278" t="s">
        <v>2008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97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97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97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97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97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97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97"/>
        <v>0</v>
      </c>
    </row>
    <row r="4130" spans="1:13" ht="15">
      <c r="A4130" s="28" t="s">
        <v>2505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97"/>
        <v>0</v>
      </c>
    </row>
    <row r="4131" spans="1:13" ht="15">
      <c r="A4131" s="28" t="s">
        <v>3323</v>
      </c>
      <c r="B4131" s="63" t="s">
        <v>3385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3324</v>
      </c>
      <c r="B4132" s="63" t="s">
        <v>3379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3325</v>
      </c>
      <c r="B4133" s="63" t="s">
        <v>3378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3326</v>
      </c>
      <c r="B4134" s="63" t="s">
        <v>3394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3327</v>
      </c>
      <c r="B4135" s="63" t="s">
        <v>3393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3328</v>
      </c>
      <c r="B4136" s="63" t="s">
        <v>3381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3329</v>
      </c>
      <c r="B4137" s="63" t="s">
        <v>3375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3330</v>
      </c>
      <c r="B4138" s="63" t="s">
        <v>3406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3331</v>
      </c>
      <c r="B4139" s="278" t="s">
        <v>3374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3332</v>
      </c>
      <c r="B4140" s="63" t="s">
        <v>3390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3333</v>
      </c>
      <c r="B4141" s="63" t="s">
        <v>3387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3334</v>
      </c>
      <c r="B4142" s="63" t="s">
        <v>3402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3335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3336</v>
      </c>
      <c r="B4144" s="63" t="s">
        <v>3403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3337</v>
      </c>
      <c r="B4145" s="63" t="s">
        <v>3382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3338</v>
      </c>
      <c r="B4146" s="63" t="s">
        <v>3376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3339</v>
      </c>
      <c r="B4147" s="63" t="s">
        <v>3383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3340</v>
      </c>
      <c r="B4148" s="63" t="s">
        <v>3380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3341</v>
      </c>
      <c r="B4149" s="63" t="s">
        <v>3391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3342</v>
      </c>
      <c r="B4150" s="63" t="s">
        <v>3386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3343</v>
      </c>
      <c r="B4151" s="278" t="s">
        <v>3373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3344</v>
      </c>
      <c r="B4152" s="63" t="s">
        <v>3388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3345</v>
      </c>
      <c r="B4153" s="63" t="s">
        <v>3407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3346</v>
      </c>
      <c r="B4154" s="63" t="s">
        <v>3377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4138</v>
      </c>
      <c r="B4155" s="63" t="s">
        <v>3384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4139</v>
      </c>
      <c r="B4156" s="63" t="s">
        <v>3405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4140</v>
      </c>
      <c r="B4157" s="63" t="s">
        <v>3389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98">SUM(E4164:K4164)</f>
        <v>23670.599999999849</v>
      </c>
      <c r="O4164" t="s">
        <v>3175</v>
      </c>
      <c r="R4164" s="3" t="s">
        <v>1813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8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98"/>
        <v>21991.399999999947</v>
      </c>
      <c r="O4166" t="s">
        <v>812</v>
      </c>
      <c r="R4166" s="3" t="s">
        <v>1814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98"/>
        <v>21037.050000000072</v>
      </c>
      <c r="O4167" t="s">
        <v>2469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8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8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98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98"/>
        <v>18779.299999999919</v>
      </c>
      <c r="O4171" t="s">
        <v>812</v>
      </c>
      <c r="R4171" s="3" t="s">
        <v>1814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98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8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8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8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8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8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98"/>
        <v>17277.099999999849</v>
      </c>
      <c r="O4178" t="s">
        <v>1853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98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98"/>
        <v>16543.899999999827</v>
      </c>
      <c r="O4180" t="s">
        <v>1314</v>
      </c>
      <c r="R4180" s="216" t="s">
        <v>1814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8"/>
        <v>16176.500000000075</v>
      </c>
      <c r="O4181" t="s">
        <v>370</v>
      </c>
      <c r="R4181" s="3" t="s">
        <v>1814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8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98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98"/>
        <v>14470.199999999957</v>
      </c>
      <c r="O4184" t="s">
        <v>1314</v>
      </c>
      <c r="R4184" s="216" t="s">
        <v>1814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8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98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8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8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8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98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98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98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8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8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8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9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9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99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99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99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99"/>
        <v>10802.099999999977</v>
      </c>
      <c r="O4201" t="s">
        <v>282</v>
      </c>
      <c r="R4201" s="216" t="s">
        <v>1814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99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99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9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9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99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9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9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9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9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99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9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99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99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9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9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9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99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9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9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9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2014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99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2022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99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9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2012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99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9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2010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99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00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00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00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2006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00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00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00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2013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00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2015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00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2007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00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00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00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2033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00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00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2161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00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2028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00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2032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00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2027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00"/>
        <v>3290.7000000000003</v>
      </c>
    </row>
    <row r="4245" spans="1:23" ht="15">
      <c r="A4245" s="28" t="s">
        <v>917</v>
      </c>
      <c r="B4245" s="278" t="s">
        <v>2034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00"/>
        <v>3257.6</v>
      </c>
    </row>
    <row r="4246" spans="1:23" ht="15">
      <c r="A4246" s="28" t="s">
        <v>918</v>
      </c>
      <c r="B4246" s="278" t="s">
        <v>2011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00"/>
        <v>3255.7999999999565</v>
      </c>
    </row>
    <row r="4247" spans="1:23" ht="15">
      <c r="A4247" s="28" t="s">
        <v>919</v>
      </c>
      <c r="B4247" s="278" t="s">
        <v>2029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00"/>
        <v>3153.9</v>
      </c>
    </row>
    <row r="4248" spans="1:23" ht="15">
      <c r="A4248" s="28" t="s">
        <v>920</v>
      </c>
      <c r="B4248" s="278" t="s">
        <v>2031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00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00"/>
        <v>2768.7999999999956</v>
      </c>
    </row>
    <row r="4250" spans="1:23" ht="15">
      <c r="A4250" s="28" t="s">
        <v>922</v>
      </c>
      <c r="B4250" s="278" t="s">
        <v>4520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00"/>
        <v>2666.4</v>
      </c>
    </row>
    <row r="4251" spans="1:23" ht="15">
      <c r="A4251" s="28" t="s">
        <v>923</v>
      </c>
      <c r="B4251" s="278" t="s">
        <v>2056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00"/>
        <v>2619.1000000000004</v>
      </c>
    </row>
    <row r="4252" spans="1:23" ht="15">
      <c r="A4252" s="28" t="s">
        <v>924</v>
      </c>
      <c r="B4252" s="278" t="s">
        <v>2008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00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00"/>
        <v>2493.4999999999345</v>
      </c>
    </row>
    <row r="4254" spans="1:23" ht="15">
      <c r="A4254" s="28" t="s">
        <v>926</v>
      </c>
      <c r="B4254" s="278" t="s">
        <v>2057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00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00"/>
        <v>2395.8000000000102</v>
      </c>
    </row>
    <row r="4256" spans="1:23" ht="15">
      <c r="A4256" s="28" t="s">
        <v>928</v>
      </c>
      <c r="B4256" s="278" t="s">
        <v>2054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00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00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00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00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00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00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00"/>
        <v>1584.4000000000233</v>
      </c>
    </row>
    <row r="4263" spans="1:13" ht="15">
      <c r="A4263" s="28" t="s">
        <v>935</v>
      </c>
      <c r="B4263" s="278" t="s">
        <v>2030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00"/>
        <v>877.1</v>
      </c>
    </row>
    <row r="4264" spans="1:13" ht="15">
      <c r="A4264" s="28" t="s">
        <v>2505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00"/>
        <v>713.79999999999927</v>
      </c>
    </row>
    <row r="4265" spans="1:13" ht="15">
      <c r="A4265" s="28" t="s">
        <v>3323</v>
      </c>
      <c r="B4265" s="63" t="s">
        <v>3385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3324</v>
      </c>
      <c r="B4266" s="63" t="s">
        <v>3379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3325</v>
      </c>
      <c r="B4267" s="63" t="s">
        <v>3378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3326</v>
      </c>
      <c r="B4268" s="63" t="s">
        <v>3394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3327</v>
      </c>
      <c r="B4269" s="63" t="s">
        <v>3393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3328</v>
      </c>
      <c r="B4270" s="63" t="s">
        <v>3381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3329</v>
      </c>
      <c r="B4271" s="63" t="s">
        <v>3375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3330</v>
      </c>
      <c r="B4272" s="63" t="s">
        <v>3406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3331</v>
      </c>
      <c r="B4273" s="278" t="s">
        <v>3374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3332</v>
      </c>
      <c r="B4274" s="63" t="s">
        <v>3390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3333</v>
      </c>
      <c r="B4275" s="63" t="s">
        <v>3387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3334</v>
      </c>
      <c r="B4276" s="63" t="s">
        <v>3402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3335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3336</v>
      </c>
      <c r="B4278" s="63" t="s">
        <v>3403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3337</v>
      </c>
      <c r="B4279" s="63" t="s">
        <v>3382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3338</v>
      </c>
      <c r="B4280" s="63" t="s">
        <v>3376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3339</v>
      </c>
      <c r="B4281" s="63" t="s">
        <v>3383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3340</v>
      </c>
      <c r="B4282" s="63" t="s">
        <v>3380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3341</v>
      </c>
      <c r="B4283" s="63" t="s">
        <v>3391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3342</v>
      </c>
      <c r="B4284" s="63" t="s">
        <v>3386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3343</v>
      </c>
      <c r="B4285" s="278" t="s">
        <v>3373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3344</v>
      </c>
      <c r="B4286" s="63" t="s">
        <v>3388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3345</v>
      </c>
      <c r="B4287" s="63" t="s">
        <v>3407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3346</v>
      </c>
      <c r="B4288" s="63" t="s">
        <v>3377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4138</v>
      </c>
      <c r="B4289" s="63" t="s">
        <v>3384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4139</v>
      </c>
      <c r="B4290" s="63" t="s">
        <v>3405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4140</v>
      </c>
      <c r="B4291" s="63" t="s">
        <v>3389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01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01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01"/>
        <v>1564.6999999999964</v>
      </c>
      <c r="O4300" t="s">
        <v>325</v>
      </c>
      <c r="R4300" t="s">
        <v>1815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01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01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01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01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01"/>
        <v>1258.8499999999867</v>
      </c>
      <c r="O4305" t="s">
        <v>296</v>
      </c>
      <c r="R4305" t="s">
        <v>1815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01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01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01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01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01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01"/>
        <v>1063.7000000000016</v>
      </c>
      <c r="O4311" t="s">
        <v>325</v>
      </c>
      <c r="R4311" s="21" t="s">
        <v>1815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01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01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01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01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01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01"/>
        <v>959.39999999999804</v>
      </c>
      <c r="O4317" t="s">
        <v>282</v>
      </c>
      <c r="R4317" t="s">
        <v>1815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01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01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01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01"/>
        <v>903.79999999998563</v>
      </c>
      <c r="O4321" t="s">
        <v>282</v>
      </c>
      <c r="R4321" s="21" t="s">
        <v>1815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01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01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01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01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01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01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01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01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02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02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02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02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02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02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02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02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02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02"/>
        <v>698.00000000000546</v>
      </c>
      <c r="O4339" t="s">
        <v>282</v>
      </c>
      <c r="R4339" s="21" t="s">
        <v>1815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02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02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02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02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02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02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02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02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02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02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02"/>
        <v>565.79999999999995</v>
      </c>
      <c r="O4350" t="s">
        <v>282</v>
      </c>
      <c r="R4350" t="s">
        <v>1815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02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02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2011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02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02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2022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02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02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02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02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2010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02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02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2015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02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03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2013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03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03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03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03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2012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03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03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03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2006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03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2014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03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4520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03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2027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03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2031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03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03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2161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03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2007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03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03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03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2008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03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03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2034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03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2029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03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2032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03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03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03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2054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03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03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03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03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2028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03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2030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03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2033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03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2057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03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2056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03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03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03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2505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03"/>
        <v>0</v>
      </c>
      <c r="S4398" s="225"/>
      <c r="T4398" s="63"/>
      <c r="U4398" s="63"/>
      <c r="V4398" s="50"/>
      <c r="W4398" s="9"/>
    </row>
    <row r="4399" spans="1:23" ht="15">
      <c r="A4399" s="28" t="s">
        <v>3323</v>
      </c>
      <c r="B4399" s="63" t="s">
        <v>3385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3324</v>
      </c>
      <c r="B4400" s="63" t="s">
        <v>3379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3325</v>
      </c>
      <c r="B4401" s="63" t="s">
        <v>3378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3326</v>
      </c>
      <c r="B4402" s="63" t="s">
        <v>3394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3327</v>
      </c>
      <c r="B4403" s="63" t="s">
        <v>3393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3328</v>
      </c>
      <c r="B4404" s="63" t="s">
        <v>3381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3329</v>
      </c>
      <c r="B4405" s="63" t="s">
        <v>3375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3330</v>
      </c>
      <c r="B4406" s="63" t="s">
        <v>3406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3331</v>
      </c>
      <c r="B4407" s="278" t="s">
        <v>3374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3332</v>
      </c>
      <c r="B4408" s="63" t="s">
        <v>3390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3333</v>
      </c>
      <c r="B4409" s="63" t="s">
        <v>3387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3334</v>
      </c>
      <c r="B4410" s="63" t="s">
        <v>3402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3335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3336</v>
      </c>
      <c r="B4412" s="63" t="s">
        <v>3403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3337</v>
      </c>
      <c r="B4413" s="63" t="s">
        <v>3382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3338</v>
      </c>
      <c r="B4414" s="63" t="s">
        <v>3376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3339</v>
      </c>
      <c r="B4415" s="63" t="s">
        <v>3383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3340</v>
      </c>
      <c r="B4416" s="63" t="s">
        <v>3380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3341</v>
      </c>
      <c r="B4417" s="63" t="s">
        <v>3391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3342</v>
      </c>
      <c r="B4418" s="63" t="s">
        <v>3386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3343</v>
      </c>
      <c r="B4419" s="278" t="s">
        <v>3373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3344</v>
      </c>
      <c r="B4420" s="63" t="s">
        <v>3388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3345</v>
      </c>
      <c r="B4421" s="63" t="s">
        <v>3407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3346</v>
      </c>
      <c r="B4422" s="63" t="s">
        <v>3377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4138</v>
      </c>
      <c r="B4423" s="63" t="s">
        <v>3384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4139</v>
      </c>
      <c r="B4424" s="63" t="s">
        <v>3405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4140</v>
      </c>
      <c r="B4425" s="63" t="s">
        <v>3389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04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04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04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04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04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04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04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04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04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04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04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04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04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04"/>
        <v>1352.5000000000086</v>
      </c>
      <c r="O4445" t="s">
        <v>282</v>
      </c>
      <c r="R4445" t="s">
        <v>1816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04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04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04"/>
        <v>1106.2</v>
      </c>
      <c r="O4448" t="s">
        <v>282</v>
      </c>
      <c r="R4448" t="s">
        <v>1816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04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04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04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04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04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04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04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04"/>
        <v>971.29999999998688</v>
      </c>
      <c r="O4456" t="s">
        <v>282</v>
      </c>
      <c r="R4456" t="s">
        <v>1816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04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04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04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04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04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04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04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5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5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5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5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5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5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5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5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5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05"/>
        <v>526.25</v>
      </c>
      <c r="O4473" t="s">
        <v>282</v>
      </c>
      <c r="R4473" t="s">
        <v>1816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05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5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05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2015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05"/>
        <v>489.19999999999345</v>
      </c>
      <c r="O4477" t="s">
        <v>282</v>
      </c>
      <c r="R4477" s="21" t="s">
        <v>1816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5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05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05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5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05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5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5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5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05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5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05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05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2011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05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5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05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2031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05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5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2010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05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6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2012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06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2161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06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06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06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2057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06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2014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06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2056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06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06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2030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06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06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06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06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2027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06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2013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06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06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2007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06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06"/>
        <v>126.70000000000073</v>
      </c>
    </row>
    <row r="4514" spans="1:13" ht="15">
      <c r="A4514" s="28" t="s">
        <v>918</v>
      </c>
      <c r="B4514" s="278" t="s">
        <v>2054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06"/>
        <v>126.20000000000073</v>
      </c>
    </row>
    <row r="4515" spans="1:13" ht="15">
      <c r="A4515" s="28" t="s">
        <v>919</v>
      </c>
      <c r="B4515" s="278" t="s">
        <v>2022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06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06"/>
        <v>117.40000000000873</v>
      </c>
    </row>
    <row r="4517" spans="1:13" ht="15">
      <c r="A4517" s="28" t="s">
        <v>921</v>
      </c>
      <c r="B4517" s="278" t="s">
        <v>4520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06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06"/>
        <v>107.99999999999636</v>
      </c>
    </row>
    <row r="4519" spans="1:13" ht="15">
      <c r="A4519" s="28" t="s">
        <v>923</v>
      </c>
      <c r="B4519" s="278" t="s">
        <v>2034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06"/>
        <v>107.59999999999854</v>
      </c>
    </row>
    <row r="4520" spans="1:13" ht="15">
      <c r="A4520" s="28" t="s">
        <v>924</v>
      </c>
      <c r="B4520" s="278" t="s">
        <v>2032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06"/>
        <v>100.79999999998836</v>
      </c>
    </row>
    <row r="4521" spans="1:13" ht="15">
      <c r="A4521" s="28" t="s">
        <v>925</v>
      </c>
      <c r="B4521" s="278" t="s">
        <v>2006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06"/>
        <v>100.50000000000364</v>
      </c>
    </row>
    <row r="4522" spans="1:13" ht="15">
      <c r="A4522" s="28" t="s">
        <v>926</v>
      </c>
      <c r="B4522" s="278" t="s">
        <v>2029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06"/>
        <v>99.900000000001455</v>
      </c>
    </row>
    <row r="4523" spans="1:13" ht="15">
      <c r="A4523" s="28" t="s">
        <v>927</v>
      </c>
      <c r="B4523" s="278" t="s">
        <v>2033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06"/>
        <v>43.099999999998545</v>
      </c>
    </row>
    <row r="4524" spans="1:13" ht="15">
      <c r="A4524" s="28" t="s">
        <v>928</v>
      </c>
      <c r="B4524" s="278" t="s">
        <v>2028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06"/>
        <v>33.600000000000364</v>
      </c>
    </row>
    <row r="4525" spans="1:13" ht="15">
      <c r="A4525" s="28" t="s">
        <v>929</v>
      </c>
      <c r="B4525" s="278" t="s">
        <v>2008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06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06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06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06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06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06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06"/>
        <v>0</v>
      </c>
    </row>
    <row r="4532" spans="1:13" ht="15">
      <c r="A4532" s="28" t="s">
        <v>2505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06"/>
        <v>0</v>
      </c>
    </row>
    <row r="4533" spans="1:13" ht="15">
      <c r="A4533" s="28" t="s">
        <v>3323</v>
      </c>
      <c r="B4533" s="63" t="s">
        <v>3385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3324</v>
      </c>
      <c r="B4534" s="63" t="s">
        <v>3379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3325</v>
      </c>
      <c r="B4535" s="63" t="s">
        <v>3378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3326</v>
      </c>
      <c r="B4536" s="63" t="s">
        <v>3394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3327</v>
      </c>
      <c r="B4537" s="63" t="s">
        <v>3393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3328</v>
      </c>
      <c r="B4538" s="63" t="s">
        <v>3381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3329</v>
      </c>
      <c r="B4539" s="63" t="s">
        <v>3375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3330</v>
      </c>
      <c r="B4540" s="63" t="s">
        <v>3406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3331</v>
      </c>
      <c r="B4541" s="278" t="s">
        <v>3374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3332</v>
      </c>
      <c r="B4542" s="63" t="s">
        <v>3390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3333</v>
      </c>
      <c r="B4543" s="63" t="s">
        <v>3387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3334</v>
      </c>
      <c r="B4544" s="63" t="s">
        <v>3402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3335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3336</v>
      </c>
      <c r="B4546" s="63" t="s">
        <v>3403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3337</v>
      </c>
      <c r="B4547" s="63" t="s">
        <v>3382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3338</v>
      </c>
      <c r="B4548" s="63" t="s">
        <v>3376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3339</v>
      </c>
      <c r="B4549" s="63" t="s">
        <v>3383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3340</v>
      </c>
      <c r="B4550" s="63" t="s">
        <v>3380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3341</v>
      </c>
      <c r="B4551" s="63" t="s">
        <v>3391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3342</v>
      </c>
      <c r="B4552" s="63" t="s">
        <v>3386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3343</v>
      </c>
      <c r="B4553" s="278" t="s">
        <v>3373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3344</v>
      </c>
      <c r="B4554" s="63" t="s">
        <v>3388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3345</v>
      </c>
      <c r="B4555" s="63" t="s">
        <v>3407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3346</v>
      </c>
      <c r="B4556" s="63" t="s">
        <v>3377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4138</v>
      </c>
      <c r="B4557" s="63" t="s">
        <v>3384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4139</v>
      </c>
      <c r="B4558" s="63" t="s">
        <v>3405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4140</v>
      </c>
      <c r="B4559" s="63" t="s">
        <v>3389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7">SUM(E4566:K4566)</f>
        <v>1795.6499999999978</v>
      </c>
      <c r="O4566" t="s">
        <v>2880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7"/>
        <v>1571.399999999999</v>
      </c>
      <c r="O4567" t="s">
        <v>370</v>
      </c>
      <c r="R4567" t="s">
        <v>1817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7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7"/>
        <v>1522.6500000000131</v>
      </c>
      <c r="O4569" t="s">
        <v>282</v>
      </c>
      <c r="R4569" s="21" t="s">
        <v>1817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7"/>
        <v>1514.3000000000175</v>
      </c>
      <c r="O4570" t="s">
        <v>281</v>
      </c>
      <c r="R4570" t="s">
        <v>1817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7"/>
        <v>1488.7000000000021</v>
      </c>
      <c r="O4571" t="s">
        <v>282</v>
      </c>
      <c r="R4571" t="s">
        <v>1817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7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7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7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7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7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7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07"/>
        <v>1247.1000000000058</v>
      </c>
      <c r="O4578" t="s">
        <v>281</v>
      </c>
      <c r="R4578" t="s">
        <v>1817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07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7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7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7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7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7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7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7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07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7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7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7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7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7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7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7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07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07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7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8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8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8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2054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08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8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8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8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08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8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8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8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8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8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8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8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08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8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8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2022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08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08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08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8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2015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08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8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08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08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2012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08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2031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08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4520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08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2010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08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08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2011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08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9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2013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09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09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2030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09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2027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09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2057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09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09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09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09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09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09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09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2161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09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09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2006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09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09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2032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09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09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09"/>
        <v>308.30000000000655</v>
      </c>
    </row>
    <row r="4649" spans="1:23" ht="15">
      <c r="A4649" s="28" t="s">
        <v>919</v>
      </c>
      <c r="B4649" s="278" t="s">
        <v>2034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09"/>
        <v>308.09999999999854</v>
      </c>
    </row>
    <row r="4650" spans="1:23" ht="15">
      <c r="A4650" s="28" t="s">
        <v>920</v>
      </c>
      <c r="B4650" s="278" t="s">
        <v>2029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09"/>
        <v>274</v>
      </c>
    </row>
    <row r="4651" spans="1:23" ht="15">
      <c r="A4651" s="28" t="s">
        <v>921</v>
      </c>
      <c r="B4651" s="278" t="s">
        <v>2014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09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09"/>
        <v>234.39999999999782</v>
      </c>
    </row>
    <row r="4653" spans="1:23" ht="15">
      <c r="A4653" s="28" t="s">
        <v>923</v>
      </c>
      <c r="B4653" s="278" t="s">
        <v>2033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09"/>
        <v>217.09999999999854</v>
      </c>
    </row>
    <row r="4654" spans="1:23" ht="15">
      <c r="A4654" s="28" t="s">
        <v>924</v>
      </c>
      <c r="B4654" s="278" t="s">
        <v>2056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09"/>
        <v>194.20000000000073</v>
      </c>
    </row>
    <row r="4655" spans="1:23" ht="15">
      <c r="A4655" s="28" t="s">
        <v>925</v>
      </c>
      <c r="B4655" s="278" t="s">
        <v>2028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09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09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09"/>
        <v>31.650000000005093</v>
      </c>
    </row>
    <row r="4658" spans="1:13" ht="15">
      <c r="A4658" s="28" t="s">
        <v>928</v>
      </c>
      <c r="B4658" s="278" t="s">
        <v>2007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09"/>
        <v>29.899999999999636</v>
      </c>
    </row>
    <row r="4659" spans="1:13" ht="15">
      <c r="A4659" s="28" t="s">
        <v>929</v>
      </c>
      <c r="B4659" s="278" t="s">
        <v>2008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09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09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09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09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09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09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09"/>
        <v>0</v>
      </c>
    </row>
    <row r="4666" spans="1:13" ht="15">
      <c r="A4666" s="28" t="s">
        <v>2505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09"/>
        <v>0</v>
      </c>
    </row>
    <row r="4667" spans="1:13" ht="15">
      <c r="A4667" s="28" t="s">
        <v>3323</v>
      </c>
      <c r="B4667" s="63" t="s">
        <v>3385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3324</v>
      </c>
      <c r="B4668" s="63" t="s">
        <v>3379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3325</v>
      </c>
      <c r="B4669" s="63" t="s">
        <v>3378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3326</v>
      </c>
      <c r="B4670" s="63" t="s">
        <v>3394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3327</v>
      </c>
      <c r="B4671" s="63" t="s">
        <v>3393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3328</v>
      </c>
      <c r="B4672" s="63" t="s">
        <v>3381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3329</v>
      </c>
      <c r="B4673" s="63" t="s">
        <v>3375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3330</v>
      </c>
      <c r="B4674" s="63" t="s">
        <v>3406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3331</v>
      </c>
      <c r="B4675" s="278" t="s">
        <v>3374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3332</v>
      </c>
      <c r="B4676" s="63" t="s">
        <v>3390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3333</v>
      </c>
      <c r="B4677" s="63" t="s">
        <v>3387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3334</v>
      </c>
      <c r="B4678" s="63" t="s">
        <v>3402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3335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3336</v>
      </c>
      <c r="B4680" s="63" t="s">
        <v>3403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3337</v>
      </c>
      <c r="B4681" s="63" t="s">
        <v>3382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3338</v>
      </c>
      <c r="B4682" s="63" t="s">
        <v>3376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3339</v>
      </c>
      <c r="B4683" s="63" t="s">
        <v>3383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3340</v>
      </c>
      <c r="B4684" s="63" t="s">
        <v>3380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3341</v>
      </c>
      <c r="B4685" s="63" t="s">
        <v>3391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3342</v>
      </c>
      <c r="B4686" s="63" t="s">
        <v>3386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3343</v>
      </c>
      <c r="B4687" s="278" t="s">
        <v>3373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3344</v>
      </c>
      <c r="B4688" s="63" t="s">
        <v>3388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3345</v>
      </c>
      <c r="B4689" s="63" t="s">
        <v>3407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3346</v>
      </c>
      <c r="B4690" s="63" t="s">
        <v>3377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4138</v>
      </c>
      <c r="B4691" s="63" t="s">
        <v>3384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4139</v>
      </c>
      <c r="B4692" s="63" t="s">
        <v>3405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4140</v>
      </c>
      <c r="B4693" s="63" t="s">
        <v>3389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10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10"/>
        <v>700.09999999999945</v>
      </c>
      <c r="O4701" t="s">
        <v>356</v>
      </c>
      <c r="R4701" s="3" t="s">
        <v>1818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10"/>
        <v>695.80000000000041</v>
      </c>
      <c r="O4702" t="s">
        <v>302</v>
      </c>
      <c r="R4702" s="3" t="s">
        <v>1818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10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10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10"/>
        <v>477.99999999999875</v>
      </c>
      <c r="O4705" t="s">
        <v>282</v>
      </c>
      <c r="R4705" s="3" t="s">
        <v>1818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10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10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10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10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10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10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10"/>
        <v>380.10000000000235</v>
      </c>
      <c r="O4712" t="s">
        <v>2504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10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10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10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10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10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10"/>
        <v>347.50000000000051</v>
      </c>
      <c r="O4718" t="s">
        <v>339</v>
      </c>
      <c r="R4718" s="3" t="s">
        <v>1818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10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10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10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10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10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10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10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10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10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10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10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10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10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11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11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11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11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11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11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11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11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11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11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11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11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11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11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11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11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11"/>
        <v>97.499999999999091</v>
      </c>
      <c r="R4748" s="216" t="s">
        <v>1818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11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11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11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11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11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11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11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11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11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2014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11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11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2007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11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11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11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2013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11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2027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12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12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2057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12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2010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12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2028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12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2008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12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2022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12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2029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12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12"/>
        <v>0</v>
      </c>
      <c r="S4772" s="63"/>
    </row>
    <row r="4773" spans="1:23" ht="15">
      <c r="A4773" s="28" t="s">
        <v>909</v>
      </c>
      <c r="B4773" s="278" t="s">
        <v>2015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12"/>
        <v>0</v>
      </c>
      <c r="S4773" s="63"/>
    </row>
    <row r="4774" spans="1:23" ht="15">
      <c r="A4774" s="28" t="s">
        <v>910</v>
      </c>
      <c r="B4774" s="278" t="s">
        <v>2011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12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12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12"/>
        <v>0</v>
      </c>
      <c r="S4776" s="225"/>
    </row>
    <row r="4777" spans="1:23" ht="15">
      <c r="A4777" s="28" t="s">
        <v>913</v>
      </c>
      <c r="B4777" s="278" t="s">
        <v>4520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12"/>
        <v>0</v>
      </c>
      <c r="S4777" s="63"/>
    </row>
    <row r="4778" spans="1:23" ht="15">
      <c r="A4778" s="28" t="s">
        <v>914</v>
      </c>
      <c r="B4778" s="278" t="s">
        <v>2030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12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12"/>
        <v>0</v>
      </c>
      <c r="S4779" s="278"/>
    </row>
    <row r="4780" spans="1:23" ht="15">
      <c r="A4780" s="28" t="s">
        <v>916</v>
      </c>
      <c r="B4780" s="278" t="s">
        <v>2031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12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12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12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12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12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12"/>
        <v>0</v>
      </c>
    </row>
    <row r="4786" spans="1:13" ht="15">
      <c r="A4786" s="28" t="s">
        <v>922</v>
      </c>
      <c r="B4786" s="278" t="s">
        <v>2032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12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12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12"/>
        <v>0</v>
      </c>
    </row>
    <row r="4789" spans="1:13" ht="15">
      <c r="A4789" s="28" t="s">
        <v>925</v>
      </c>
      <c r="B4789" s="278" t="s">
        <v>2054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12"/>
        <v>0</v>
      </c>
    </row>
    <row r="4790" spans="1:13" ht="15">
      <c r="A4790" s="28" t="s">
        <v>926</v>
      </c>
      <c r="B4790" s="278" t="s">
        <v>2056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12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12"/>
        <v>0</v>
      </c>
    </row>
    <row r="4792" spans="1:13" ht="15">
      <c r="A4792" s="28" t="s">
        <v>928</v>
      </c>
      <c r="B4792" s="278" t="s">
        <v>2161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12"/>
        <v>0</v>
      </c>
    </row>
    <row r="4793" spans="1:13" ht="15">
      <c r="A4793" s="28" t="s">
        <v>929</v>
      </c>
      <c r="B4793" s="278" t="s">
        <v>2033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12"/>
        <v>0</v>
      </c>
    </row>
    <row r="4794" spans="1:13" ht="15">
      <c r="A4794" s="28" t="s">
        <v>930</v>
      </c>
      <c r="B4794" s="278" t="s">
        <v>2006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12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12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12"/>
        <v>0</v>
      </c>
    </row>
    <row r="4797" spans="1:13" ht="15">
      <c r="A4797" s="28" t="s">
        <v>933</v>
      </c>
      <c r="B4797" s="278" t="s">
        <v>2034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12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12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12"/>
        <v>0</v>
      </c>
    </row>
    <row r="4800" spans="1:13" ht="15">
      <c r="A4800" s="28" t="s">
        <v>2505</v>
      </c>
      <c r="B4800" s="278" t="s">
        <v>2012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12"/>
        <v>0</v>
      </c>
    </row>
    <row r="4801" spans="1:13" ht="15">
      <c r="A4801" s="28" t="s">
        <v>3323</v>
      </c>
      <c r="B4801" s="63" t="s">
        <v>3385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3324</v>
      </c>
      <c r="B4802" s="63" t="s">
        <v>3379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3325</v>
      </c>
      <c r="B4803" s="63" t="s">
        <v>3378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3326</v>
      </c>
      <c r="B4804" s="63" t="s">
        <v>3394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3327</v>
      </c>
      <c r="B4805" s="63" t="s">
        <v>3393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3328</v>
      </c>
      <c r="B4806" s="63" t="s">
        <v>3381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3329</v>
      </c>
      <c r="B4807" s="63" t="s">
        <v>3375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3330</v>
      </c>
      <c r="B4808" s="63" t="s">
        <v>3406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3331</v>
      </c>
      <c r="B4809" s="278" t="s">
        <v>3374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3332</v>
      </c>
      <c r="B4810" s="63" t="s">
        <v>3390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3333</v>
      </c>
      <c r="B4811" s="63" t="s">
        <v>3387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3334</v>
      </c>
      <c r="B4812" s="63" t="s">
        <v>3402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3335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3336</v>
      </c>
      <c r="B4814" s="63" t="s">
        <v>3403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3337</v>
      </c>
      <c r="B4815" s="63" t="s">
        <v>3382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3338</v>
      </c>
      <c r="B4816" s="63" t="s">
        <v>3376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3339</v>
      </c>
      <c r="B4817" s="63" t="s">
        <v>3383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3340</v>
      </c>
      <c r="B4818" s="63" t="s">
        <v>3380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3341</v>
      </c>
      <c r="B4819" s="63" t="s">
        <v>3391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3342</v>
      </c>
      <c r="B4820" s="63" t="s">
        <v>3386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3343</v>
      </c>
      <c r="B4821" s="278" t="s">
        <v>3373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3344</v>
      </c>
      <c r="B4822" s="63" t="s">
        <v>3388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3345</v>
      </c>
      <c r="B4823" s="63" t="s">
        <v>3407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3346</v>
      </c>
      <c r="B4824" s="63" t="s">
        <v>3377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4138</v>
      </c>
      <c r="B4825" s="63" t="s">
        <v>3384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4139</v>
      </c>
      <c r="B4826" s="63" t="s">
        <v>3405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4140</v>
      </c>
      <c r="B4827" s="63" t="s">
        <v>3389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13">SUM(E4834:K4834)</f>
        <v>3042.7999999999902</v>
      </c>
      <c r="O4834" t="s">
        <v>3119</v>
      </c>
      <c r="R4834" s="216" t="s">
        <v>3120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13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13"/>
        <v>2836.8000000000211</v>
      </c>
      <c r="O4836" t="s">
        <v>2493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13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13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13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13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13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13"/>
        <v>2424.5000000000036</v>
      </c>
      <c r="O4842" t="s">
        <v>1298</v>
      </c>
      <c r="R4842" s="3" t="s">
        <v>1819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13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13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13"/>
        <v>2357.1499999999992</v>
      </c>
      <c r="O4845" t="s">
        <v>370</v>
      </c>
      <c r="R4845" s="3" t="s">
        <v>1819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13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13"/>
        <v>2278.1000000000104</v>
      </c>
      <c r="O4847" t="s">
        <v>356</v>
      </c>
      <c r="R4847" s="216" t="s">
        <v>1819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13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13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13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13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13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13"/>
        <v>1962.1000000000108</v>
      </c>
      <c r="O4853" t="s">
        <v>1853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13"/>
        <v>1884.2999999999947</v>
      </c>
      <c r="O4854" t="s">
        <v>322</v>
      </c>
      <c r="R4854" s="3" t="s">
        <v>1819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13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13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13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13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13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13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13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13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13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13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13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14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14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14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14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14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14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14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14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14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14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14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14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14"/>
        <v>1355.700000000008</v>
      </c>
      <c r="O4878" t="s">
        <v>282</v>
      </c>
      <c r="R4878" s="216" t="s">
        <v>1819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14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14"/>
        <v>1302.5000000000057</v>
      </c>
      <c r="O4880" t="s">
        <v>282</v>
      </c>
      <c r="R4880" s="216" t="s">
        <v>1819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14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14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14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14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14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14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2014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14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14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14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2006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14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14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14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14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14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14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2022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14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14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5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5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5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2011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15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2010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15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2012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15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2015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15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2013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15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15"/>
        <v>593.5</v>
      </c>
      <c r="O4906" t="s">
        <v>282</v>
      </c>
      <c r="R4906" s="3" t="s">
        <v>1819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2161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15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2033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15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2027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15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2032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15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15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15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15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15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15"/>
        <v>365.59999999999991</v>
      </c>
      <c r="O4915" t="s">
        <v>294</v>
      </c>
    </row>
    <row r="4916" spans="1:23" ht="15">
      <c r="A4916" s="28" t="s">
        <v>918</v>
      </c>
      <c r="B4916" s="278" t="s">
        <v>2030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15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15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15"/>
        <v>333.25</v>
      </c>
    </row>
    <row r="4919" spans="1:23" ht="15">
      <c r="A4919" s="28" t="s">
        <v>921</v>
      </c>
      <c r="B4919" s="278" t="s">
        <v>2054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15"/>
        <v>318.00000000000364</v>
      </c>
    </row>
    <row r="4920" spans="1:23" ht="15">
      <c r="A4920" s="28" t="s">
        <v>922</v>
      </c>
      <c r="B4920" s="278" t="s">
        <v>2034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15"/>
        <v>301.19999999999345</v>
      </c>
    </row>
    <row r="4921" spans="1:23" ht="15">
      <c r="A4921" s="28" t="s">
        <v>923</v>
      </c>
      <c r="B4921" s="278" t="s">
        <v>2057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15"/>
        <v>288</v>
      </c>
    </row>
    <row r="4922" spans="1:23" ht="15">
      <c r="A4922" s="28" t="s">
        <v>924</v>
      </c>
      <c r="B4922" s="278" t="s">
        <v>2007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15"/>
        <v>277.79999999999745</v>
      </c>
    </row>
    <row r="4923" spans="1:23" ht="15">
      <c r="A4923" s="28" t="s">
        <v>925</v>
      </c>
      <c r="B4923" s="278" t="s">
        <v>4520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15"/>
        <v>270.20000000000073</v>
      </c>
    </row>
    <row r="4924" spans="1:23" ht="15">
      <c r="A4924" s="28" t="s">
        <v>926</v>
      </c>
      <c r="B4924" s="278" t="s">
        <v>2008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15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15"/>
        <v>254.20000000000073</v>
      </c>
    </row>
    <row r="4926" spans="1:23" ht="15">
      <c r="A4926" s="28" t="s">
        <v>928</v>
      </c>
      <c r="B4926" s="278" t="s">
        <v>2031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15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15"/>
        <v>244.69999999999891</v>
      </c>
    </row>
    <row r="4928" spans="1:23" ht="15">
      <c r="A4928" s="28" t="s">
        <v>930</v>
      </c>
      <c r="B4928" s="278" t="s">
        <v>2028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15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15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15"/>
        <v>208.5</v>
      </c>
    </row>
    <row r="4931" spans="1:13" ht="15">
      <c r="A4931" s="28" t="s">
        <v>933</v>
      </c>
      <c r="B4931" s="278" t="s">
        <v>2029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15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15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15"/>
        <v>102.20000000000027</v>
      </c>
    </row>
    <row r="4934" spans="1:13" ht="15">
      <c r="A4934" s="28" t="s">
        <v>2505</v>
      </c>
      <c r="B4934" s="278" t="s">
        <v>2056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15"/>
        <v>79.400000000001455</v>
      </c>
    </row>
    <row r="4935" spans="1:13" ht="15">
      <c r="A4935" s="28" t="s">
        <v>3323</v>
      </c>
      <c r="B4935" s="63" t="s">
        <v>3385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3324</v>
      </c>
      <c r="B4936" s="63" t="s">
        <v>3379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3325</v>
      </c>
      <c r="B4937" s="63" t="s">
        <v>3378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3326</v>
      </c>
      <c r="B4938" s="63" t="s">
        <v>3394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3327</v>
      </c>
      <c r="B4939" s="63" t="s">
        <v>3393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3328</v>
      </c>
      <c r="B4940" s="63" t="s">
        <v>3381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3329</v>
      </c>
      <c r="B4941" s="63" t="s">
        <v>3375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3330</v>
      </c>
      <c r="B4942" s="63" t="s">
        <v>3406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3331</v>
      </c>
      <c r="B4943" s="278" t="s">
        <v>3374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3332</v>
      </c>
      <c r="B4944" s="63" t="s">
        <v>3390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3333</v>
      </c>
      <c r="B4945" s="63" t="s">
        <v>3387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3334</v>
      </c>
      <c r="B4946" s="63" t="s">
        <v>3402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3335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3336</v>
      </c>
      <c r="B4948" s="63" t="s">
        <v>3403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3337</v>
      </c>
      <c r="B4949" s="63" t="s">
        <v>3382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3338</v>
      </c>
      <c r="B4950" s="63" t="s">
        <v>3376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3339</v>
      </c>
      <c r="B4951" s="63" t="s">
        <v>3383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3340</v>
      </c>
      <c r="B4952" s="63" t="s">
        <v>3380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3341</v>
      </c>
      <c r="B4953" s="63" t="s">
        <v>3391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3342</v>
      </c>
      <c r="B4954" s="63" t="s">
        <v>3386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3343</v>
      </c>
      <c r="B4955" s="278" t="s">
        <v>3373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3344</v>
      </c>
      <c r="B4956" s="63" t="s">
        <v>3388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3345</v>
      </c>
      <c r="B4957" s="63" t="s">
        <v>3407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3346</v>
      </c>
      <c r="B4958" s="63" t="s">
        <v>3377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4138</v>
      </c>
      <c r="B4959" s="63" t="s">
        <v>3384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4139</v>
      </c>
      <c r="B4960" s="63" t="s">
        <v>3405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4140</v>
      </c>
      <c r="B4961" s="63" t="s">
        <v>3389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6">SUM(E4968:I4968)</f>
        <v>1596.5999999999935</v>
      </c>
      <c r="O4968" t="s">
        <v>1314</v>
      </c>
      <c r="R4968" t="s">
        <v>1820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6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6"/>
        <v>1304.2999999999943</v>
      </c>
      <c r="O4970" t="s">
        <v>370</v>
      </c>
      <c r="R4970" t="s">
        <v>1820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6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6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6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6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6"/>
        <v>1171.9000000000028</v>
      </c>
      <c r="O4975" t="s">
        <v>282</v>
      </c>
      <c r="R4975" t="s">
        <v>1820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6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6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6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6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6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6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6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6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6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6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6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6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6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6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6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6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6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6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6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6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6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6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6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6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6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6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6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6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6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6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16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6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6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6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6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6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6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16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16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6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6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6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6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6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6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6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6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6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6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16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16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16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16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16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16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16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17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17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17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17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17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17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17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17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17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17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17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17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17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17"/>
        <v>0</v>
      </c>
    </row>
    <row r="5046" spans="1:13" ht="15">
      <c r="A5046" s="28" t="s">
        <v>914</v>
      </c>
      <c r="B5046" s="278" t="s">
        <v>2014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18">SUM(E5046:J5046)</f>
        <v>0</v>
      </c>
    </row>
    <row r="5047" spans="1:13" ht="15">
      <c r="A5047" s="28" t="s">
        <v>915</v>
      </c>
      <c r="B5047" s="278" t="s">
        <v>2007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18"/>
        <v>0</v>
      </c>
    </row>
    <row r="5048" spans="1:13" ht="15">
      <c r="A5048" s="28" t="s">
        <v>916</v>
      </c>
      <c r="B5048" s="278" t="s">
        <v>2013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18"/>
        <v>0</v>
      </c>
    </row>
    <row r="5049" spans="1:13" ht="15">
      <c r="A5049" s="28" t="s">
        <v>917</v>
      </c>
      <c r="B5049" s="278" t="s">
        <v>2010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18"/>
        <v>0</v>
      </c>
    </row>
    <row r="5050" spans="1:13" ht="15">
      <c r="A5050" s="28" t="s">
        <v>918</v>
      </c>
      <c r="B5050" s="278" t="s">
        <v>2008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18"/>
        <v>0</v>
      </c>
    </row>
    <row r="5051" spans="1:13" ht="15">
      <c r="A5051" s="28" t="s">
        <v>919</v>
      </c>
      <c r="B5051" s="278" t="s">
        <v>2022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18"/>
        <v>0</v>
      </c>
    </row>
    <row r="5052" spans="1:13" ht="15">
      <c r="A5052" s="28" t="s">
        <v>920</v>
      </c>
      <c r="B5052" s="278" t="s">
        <v>2015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18"/>
        <v>0</v>
      </c>
    </row>
    <row r="5053" spans="1:13" ht="15">
      <c r="A5053" s="28" t="s">
        <v>921</v>
      </c>
      <c r="B5053" s="278" t="s">
        <v>2011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18"/>
        <v>0</v>
      </c>
    </row>
    <row r="5054" spans="1:13" ht="15">
      <c r="A5054" s="28" t="s">
        <v>922</v>
      </c>
      <c r="B5054" s="278" t="s">
        <v>2006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18"/>
        <v>0</v>
      </c>
    </row>
    <row r="5055" spans="1:13" ht="15">
      <c r="A5055" s="28" t="s">
        <v>923</v>
      </c>
      <c r="B5055" s="278" t="s">
        <v>2012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18"/>
        <v>0</v>
      </c>
    </row>
    <row r="5056" spans="1:13" ht="15">
      <c r="A5056" s="28" t="s">
        <v>924</v>
      </c>
      <c r="B5056" s="278" t="s">
        <v>2161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2031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2027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4559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2033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2029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2032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2034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2054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2028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2057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2056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2505</v>
      </c>
      <c r="B5068" s="278" t="s">
        <v>2030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3323</v>
      </c>
      <c r="B5069" s="63" t="s">
        <v>3385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3324</v>
      </c>
      <c r="B5070" s="63" t="s">
        <v>3379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3325</v>
      </c>
      <c r="B5071" s="63" t="s">
        <v>3378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3326</v>
      </c>
      <c r="B5072" s="63" t="s">
        <v>3394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3327</v>
      </c>
      <c r="B5073" s="63" t="s">
        <v>3393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3328</v>
      </c>
      <c r="B5074" s="63" t="s">
        <v>3381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3329</v>
      </c>
      <c r="B5075" s="63" t="s">
        <v>3375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3330</v>
      </c>
      <c r="B5076" s="63" t="s">
        <v>3406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3331</v>
      </c>
      <c r="B5077" s="278" t="s">
        <v>3374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3332</v>
      </c>
      <c r="B5078" s="63" t="s">
        <v>3390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3333</v>
      </c>
      <c r="B5079" s="63" t="s">
        <v>3387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3334</v>
      </c>
      <c r="B5080" s="63" t="s">
        <v>3402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3335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3336</v>
      </c>
      <c r="B5082" s="63" t="s">
        <v>3403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3337</v>
      </c>
      <c r="B5083" s="63" t="s">
        <v>3382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3338</v>
      </c>
      <c r="B5084" s="63" t="s">
        <v>3376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3339</v>
      </c>
      <c r="B5085" s="63" t="s">
        <v>3383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3340</v>
      </c>
      <c r="B5086" s="63" t="s">
        <v>3380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3341</v>
      </c>
      <c r="B5087" s="63" t="s">
        <v>3391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3342</v>
      </c>
      <c r="B5088" s="63" t="s">
        <v>3386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3343</v>
      </c>
      <c r="B5089" s="278" t="s">
        <v>3373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3344</v>
      </c>
      <c r="B5090" s="63" t="s">
        <v>3388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3345</v>
      </c>
      <c r="B5091" s="63" t="s">
        <v>3407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3346</v>
      </c>
      <c r="B5092" s="63" t="s">
        <v>3377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4138</v>
      </c>
      <c r="B5093" s="63" t="s">
        <v>3384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4139</v>
      </c>
      <c r="B5094" s="63" t="s">
        <v>3405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4140</v>
      </c>
      <c r="B5095" s="63" t="s">
        <v>3389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19">SUM(E5102:K5102)</f>
        <v>3335.6999999999971</v>
      </c>
      <c r="O5102" t="s">
        <v>3146</v>
      </c>
      <c r="Q5102" s="3"/>
      <c r="R5102" s="3" t="s">
        <v>2494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19"/>
        <v>3326.1499999999965</v>
      </c>
      <c r="O5103" t="s">
        <v>3147</v>
      </c>
      <c r="Q5103" s="3"/>
      <c r="R5103" s="216" t="s">
        <v>3148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9"/>
        <v>3199.5999999999954</v>
      </c>
      <c r="O5104" t="s">
        <v>1319</v>
      </c>
      <c r="Q5104" s="3"/>
      <c r="R5104" s="3" t="s">
        <v>1821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19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9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19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9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19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19"/>
        <v>2553.2999999999956</v>
      </c>
      <c r="O5110" t="s">
        <v>3145</v>
      </c>
      <c r="R5110" s="216" t="s">
        <v>1826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19"/>
        <v>2534.1999999999994</v>
      </c>
      <c r="O5111" t="s">
        <v>1825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19"/>
        <v>2494.2000000000025</v>
      </c>
      <c r="O5112" t="s">
        <v>3144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9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9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9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9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9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9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9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9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19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9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19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19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9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19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19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9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19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19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9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19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19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20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20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20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20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20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20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20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20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20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20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20"/>
        <v>1404.2999999999938</v>
      </c>
      <c r="O5144" t="s">
        <v>282</v>
      </c>
      <c r="R5144" s="216" t="s">
        <v>1826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20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20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20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20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20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20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20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20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20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20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20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20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20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20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20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2022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20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2010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20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20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20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20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20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2015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21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2012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21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2013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21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21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21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2006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21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2011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21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21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2007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21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21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2031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21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2161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21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21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2034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21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21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2056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21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4520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21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2014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21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2032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21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21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2054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21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2027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21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2008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21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2057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21"/>
        <v>383.39999999999964</v>
      </c>
    </row>
    <row r="5190" spans="1:23" ht="15">
      <c r="A5190" s="28" t="s">
        <v>924</v>
      </c>
      <c r="B5190" s="278" t="s">
        <v>2029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21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21"/>
        <v>319.2</v>
      </c>
      <c r="Q5191" s="3"/>
      <c r="R5191" s="3"/>
    </row>
    <row r="5192" spans="1:23" ht="15">
      <c r="A5192" s="28" t="s">
        <v>926</v>
      </c>
      <c r="B5192" s="278" t="s">
        <v>2033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21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21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21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21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21"/>
        <v>262.50000000000182</v>
      </c>
    </row>
    <row r="5197" spans="1:23" ht="15">
      <c r="A5197" s="28" t="s">
        <v>931</v>
      </c>
      <c r="B5197" s="278" t="s">
        <v>2028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21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21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21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21"/>
        <v>136.39999999999782</v>
      </c>
    </row>
    <row r="5201" spans="1:13" ht="15">
      <c r="A5201" s="28" t="s">
        <v>935</v>
      </c>
      <c r="B5201" s="278" t="s">
        <v>2030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21"/>
        <v>117.69999999999709</v>
      </c>
    </row>
    <row r="5202" spans="1:13" ht="15">
      <c r="A5202" s="28" t="s">
        <v>2505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21"/>
        <v>89</v>
      </c>
    </row>
    <row r="5203" spans="1:13" ht="15">
      <c r="A5203" s="28" t="s">
        <v>3323</v>
      </c>
      <c r="B5203" s="63" t="s">
        <v>3385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3324</v>
      </c>
      <c r="B5204" s="63" t="s">
        <v>3379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3325</v>
      </c>
      <c r="B5205" s="63" t="s">
        <v>3378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3326</v>
      </c>
      <c r="B5206" s="63" t="s">
        <v>3394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3327</v>
      </c>
      <c r="B5207" s="63" t="s">
        <v>3393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3328</v>
      </c>
      <c r="B5208" s="63" t="s">
        <v>3381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3329</v>
      </c>
      <c r="B5209" s="63" t="s">
        <v>3375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3330</v>
      </c>
      <c r="B5210" s="63" t="s">
        <v>3406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3331</v>
      </c>
      <c r="B5211" s="278" t="s">
        <v>3374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3332</v>
      </c>
      <c r="B5212" s="63" t="s">
        <v>3390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3333</v>
      </c>
      <c r="B5213" s="63" t="s">
        <v>3387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3334</v>
      </c>
      <c r="B5214" s="63" t="s">
        <v>3402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3335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3336</v>
      </c>
      <c r="B5216" s="63" t="s">
        <v>3403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3337</v>
      </c>
      <c r="B5217" s="63" t="s">
        <v>3382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3338</v>
      </c>
      <c r="B5218" s="63" t="s">
        <v>3376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3339</v>
      </c>
      <c r="B5219" s="63" t="s">
        <v>3383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3340</v>
      </c>
      <c r="B5220" s="63" t="s">
        <v>3380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3341</v>
      </c>
      <c r="B5221" s="63" t="s">
        <v>3391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3342</v>
      </c>
      <c r="B5222" s="63" t="s">
        <v>3386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3343</v>
      </c>
      <c r="B5223" s="278" t="s">
        <v>3373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3344</v>
      </c>
      <c r="B5224" s="63" t="s">
        <v>3388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3345</v>
      </c>
      <c r="B5225" s="63" t="s">
        <v>3407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3346</v>
      </c>
      <c r="B5226" s="63" t="s">
        <v>3377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4138</v>
      </c>
      <c r="B5227" s="63" t="s">
        <v>3384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4139</v>
      </c>
      <c r="B5228" s="63" t="s">
        <v>3405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4140</v>
      </c>
      <c r="B5229" s="63" t="s">
        <v>3389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22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22"/>
        <v>4010.1500000000106</v>
      </c>
      <c r="O5237" t="s">
        <v>1829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22"/>
        <v>3948.6499999999928</v>
      </c>
      <c r="O5238" t="s">
        <v>3150</v>
      </c>
      <c r="Q5238" s="3"/>
      <c r="R5238" s="216" t="s">
        <v>1822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22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22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22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22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22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22"/>
        <v>3674.0500000000052</v>
      </c>
      <c r="O5244" t="s">
        <v>282</v>
      </c>
      <c r="Q5244" s="3"/>
      <c r="R5244" s="3" t="s">
        <v>1822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22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22"/>
        <v>3622.7000000000062</v>
      </c>
      <c r="O5246" t="s">
        <v>362</v>
      </c>
      <c r="Q5246" s="3"/>
      <c r="R5246" s="3" t="s">
        <v>1822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22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22"/>
        <v>3386.1000000000231</v>
      </c>
      <c r="O5248" t="s">
        <v>1828</v>
      </c>
      <c r="Q5248" s="3"/>
      <c r="R5248" s="3" t="s">
        <v>1822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22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22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22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22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22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22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22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22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22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22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22"/>
        <v>2652.1000000000085</v>
      </c>
      <c r="O5259" t="s">
        <v>1827</v>
      </c>
      <c r="Q5259" s="3"/>
      <c r="R5259" s="216" t="s">
        <v>1822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22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22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22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22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22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22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22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22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23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23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23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23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23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23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23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23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23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23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23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23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23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23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23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23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23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23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23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23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23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23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23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23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23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23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23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23"/>
        <v>1473.600000000004</v>
      </c>
      <c r="O5295" t="s">
        <v>282</v>
      </c>
      <c r="R5295" s="216" t="s">
        <v>1822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23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23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23"/>
        <v>1398</v>
      </c>
      <c r="O5298" t="s">
        <v>282</v>
      </c>
      <c r="Q5298" s="3"/>
      <c r="R5298" s="3" t="s">
        <v>1822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23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2015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24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2013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24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24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2010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24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24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2022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24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24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24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2012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24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2007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24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2011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24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2014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24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2006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24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24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24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2008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24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24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24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24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24"/>
        <v>635.19999999999891</v>
      </c>
      <c r="S5319" s="278"/>
    </row>
    <row r="5320" spans="1:23" ht="15">
      <c r="A5320" s="28" t="s">
        <v>920</v>
      </c>
      <c r="B5320" s="278" t="s">
        <v>2056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24"/>
        <v>612.89999999999782</v>
      </c>
      <c r="S5320" s="63"/>
    </row>
    <row r="5321" spans="1:23" ht="15">
      <c r="A5321" s="28" t="s">
        <v>921</v>
      </c>
      <c r="B5321" s="278" t="s">
        <v>2054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24"/>
        <v>588.00000000001091</v>
      </c>
      <c r="S5321" s="236"/>
    </row>
    <row r="5322" spans="1:23" ht="15">
      <c r="A5322" s="28" t="s">
        <v>922</v>
      </c>
      <c r="B5322" s="278" t="s">
        <v>2031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24"/>
        <v>535.59999999999854</v>
      </c>
      <c r="S5322" s="236"/>
    </row>
    <row r="5323" spans="1:23" ht="15">
      <c r="A5323" s="28" t="s">
        <v>923</v>
      </c>
      <c r="B5323" s="278" t="s">
        <v>2028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24"/>
        <v>526</v>
      </c>
    </row>
    <row r="5324" spans="1:23" ht="15">
      <c r="A5324" s="28" t="s">
        <v>924</v>
      </c>
      <c r="B5324" s="278" t="s">
        <v>2027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24"/>
        <v>519.60000000000582</v>
      </c>
    </row>
    <row r="5325" spans="1:23" ht="15">
      <c r="A5325" s="28" t="s">
        <v>925</v>
      </c>
      <c r="B5325" s="278" t="s">
        <v>2034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24"/>
        <v>506.19999999999709</v>
      </c>
    </row>
    <row r="5326" spans="1:23" ht="15">
      <c r="A5326" s="28" t="s">
        <v>926</v>
      </c>
      <c r="B5326" s="278" t="s">
        <v>4520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24"/>
        <v>484.95000000000073</v>
      </c>
    </row>
    <row r="5327" spans="1:23" ht="15">
      <c r="A5327" s="28" t="s">
        <v>927</v>
      </c>
      <c r="B5327" s="278" t="s">
        <v>2161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24"/>
        <v>460.50000000000728</v>
      </c>
    </row>
    <row r="5328" spans="1:23" ht="15">
      <c r="A5328" s="28" t="s">
        <v>928</v>
      </c>
      <c r="B5328" s="278" t="s">
        <v>2029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24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24"/>
        <v>444.60000000000036</v>
      </c>
    </row>
    <row r="5330" spans="1:13" ht="15">
      <c r="A5330" s="28" t="s">
        <v>930</v>
      </c>
      <c r="B5330" s="278" t="s">
        <v>2032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24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24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24"/>
        <v>317.04999999999563</v>
      </c>
    </row>
    <row r="5333" spans="1:13" ht="15">
      <c r="A5333" s="28" t="s">
        <v>933</v>
      </c>
      <c r="B5333" s="278" t="s">
        <v>2030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24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24"/>
        <v>233.5</v>
      </c>
    </row>
    <row r="5335" spans="1:13" ht="15">
      <c r="A5335" s="28" t="s">
        <v>935</v>
      </c>
      <c r="B5335" s="278" t="s">
        <v>2033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24"/>
        <v>232.20000000000073</v>
      </c>
    </row>
    <row r="5336" spans="1:13" ht="15">
      <c r="A5336" s="28" t="s">
        <v>2505</v>
      </c>
      <c r="B5336" s="278" t="s">
        <v>2057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24"/>
        <v>180.00000000000546</v>
      </c>
    </row>
    <row r="5337" spans="1:13" ht="15">
      <c r="A5337" s="28" t="s">
        <v>3323</v>
      </c>
      <c r="B5337" s="63" t="s">
        <v>3385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3324</v>
      </c>
      <c r="B5338" s="63" t="s">
        <v>3379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3325</v>
      </c>
      <c r="B5339" s="63" t="s">
        <v>3378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3326</v>
      </c>
      <c r="B5340" s="63" t="s">
        <v>3394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3327</v>
      </c>
      <c r="B5341" s="63" t="s">
        <v>3393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3328</v>
      </c>
      <c r="B5342" s="63" t="s">
        <v>3381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3329</v>
      </c>
      <c r="B5343" s="63" t="s">
        <v>3375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3330</v>
      </c>
      <c r="B5344" s="63" t="s">
        <v>3406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3331</v>
      </c>
      <c r="B5345" s="278" t="s">
        <v>3374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3332</v>
      </c>
      <c r="B5346" s="63" t="s">
        <v>3390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3333</v>
      </c>
      <c r="B5347" s="63" t="s">
        <v>3387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3334</v>
      </c>
      <c r="B5348" s="63" t="s">
        <v>3402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3335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3336</v>
      </c>
      <c r="B5350" s="63" t="s">
        <v>3403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3337</v>
      </c>
      <c r="B5351" s="63" t="s">
        <v>3382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3338</v>
      </c>
      <c r="B5352" s="63" t="s">
        <v>3376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3339</v>
      </c>
      <c r="B5353" s="63" t="s">
        <v>3383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3340</v>
      </c>
      <c r="B5354" s="63" t="s">
        <v>3380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3341</v>
      </c>
      <c r="B5355" s="63" t="s">
        <v>3391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3342</v>
      </c>
      <c r="B5356" s="63" t="s">
        <v>3386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3343</v>
      </c>
      <c r="B5357" s="278" t="s">
        <v>3373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3344</v>
      </c>
      <c r="B5358" s="63" t="s">
        <v>3388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3345</v>
      </c>
      <c r="B5359" s="63" t="s">
        <v>3407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3346</v>
      </c>
      <c r="B5360" s="63" t="s">
        <v>3377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4138</v>
      </c>
      <c r="B5361" s="63" t="s">
        <v>3384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4139</v>
      </c>
      <c r="B5362" s="63" t="s">
        <v>3405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4140</v>
      </c>
      <c r="B5363" s="63" t="s">
        <v>3389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25">SUM(E5370:K5370)</f>
        <v>1319.5</v>
      </c>
      <c r="O5370" t="s">
        <v>2762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25"/>
        <v>1292.4999999999782</v>
      </c>
      <c r="O5371" t="s">
        <v>2495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5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5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5"/>
        <v>1136.0000000000036</v>
      </c>
      <c r="O5374" t="s">
        <v>339</v>
      </c>
      <c r="R5374" s="3" t="s">
        <v>1823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25"/>
        <v>1091.0000000000055</v>
      </c>
      <c r="O5375" t="s">
        <v>1846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25"/>
        <v>1063.5000000000091</v>
      </c>
      <c r="O5376" t="s">
        <v>372</v>
      </c>
      <c r="R5376" s="216" t="s">
        <v>1823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25"/>
        <v>1046.4999999999909</v>
      </c>
      <c r="O5377" t="s">
        <v>2493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25"/>
        <v>1045.9999999999964</v>
      </c>
      <c r="O5378" t="s">
        <v>2496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25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5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25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25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5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5"/>
        <v>934.00000000000364</v>
      </c>
      <c r="O5384" t="s">
        <v>282</v>
      </c>
      <c r="R5384" s="3" t="s">
        <v>1823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5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25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25"/>
        <v>847.99999999999818</v>
      </c>
      <c r="O5387" t="s">
        <v>282</v>
      </c>
      <c r="R5387" s="3" t="s">
        <v>1823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25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5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25"/>
        <v>752.50000000000546</v>
      </c>
      <c r="O5390" t="s">
        <v>2497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25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5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25"/>
        <v>734.49999999998909</v>
      </c>
      <c r="O5393" t="s">
        <v>2763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25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25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25"/>
        <v>672.99999999999454</v>
      </c>
      <c r="R5396" s="216" t="s">
        <v>1823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25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5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25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25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5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6">SUM(E5402:K5402)</f>
        <v>613.99999999999454</v>
      </c>
      <c r="O5402" t="s">
        <v>282</v>
      </c>
      <c r="R5402" s="3" t="s">
        <v>1823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6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6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26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6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6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6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6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6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6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6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6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26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6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26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6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6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6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6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6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6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6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6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6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6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6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6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6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6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6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6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2010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26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7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27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2011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27"/>
        <v>323</v>
      </c>
      <c r="O5436" t="s">
        <v>282</v>
      </c>
      <c r="R5436" s="216" t="s">
        <v>1823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2012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27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2022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27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2013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27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27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2007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27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27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2031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27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2014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27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27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2015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27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2161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27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2006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27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2032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27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4520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27"/>
        <v>209</v>
      </c>
    </row>
    <row r="5451" spans="1:23" ht="15">
      <c r="A5451" s="28" t="s">
        <v>917</v>
      </c>
      <c r="B5451" s="278" t="s">
        <v>2008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27"/>
        <v>206.49999999999636</v>
      </c>
      <c r="O5451" t="s">
        <v>285</v>
      </c>
    </row>
    <row r="5452" spans="1:23" ht="15">
      <c r="A5452" s="28" t="s">
        <v>918</v>
      </c>
      <c r="B5452" s="278" t="s">
        <v>2033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27"/>
        <v>189</v>
      </c>
    </row>
    <row r="5453" spans="1:23" ht="15">
      <c r="A5453" s="28" t="s">
        <v>919</v>
      </c>
      <c r="B5453" s="278" t="s">
        <v>2034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27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27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2029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27"/>
        <v>176.00000000000182</v>
      </c>
    </row>
    <row r="5456" spans="1:23" ht="15">
      <c r="A5456" s="28" t="s">
        <v>922</v>
      </c>
      <c r="B5456" s="278" t="s">
        <v>2028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27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27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27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27"/>
        <v>150.00000000000182</v>
      </c>
    </row>
    <row r="5460" spans="1:15" ht="15">
      <c r="A5460" s="28" t="s">
        <v>926</v>
      </c>
      <c r="B5460" s="278" t="s">
        <v>2054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27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27"/>
        <v>141.50000000000364</v>
      </c>
    </row>
    <row r="5462" spans="1:15" ht="15">
      <c r="A5462" s="28" t="s">
        <v>928</v>
      </c>
      <c r="B5462" s="278" t="s">
        <v>2056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27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27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27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27"/>
        <v>119.49999999999818</v>
      </c>
    </row>
    <row r="5466" spans="1:15" ht="15">
      <c r="A5466" s="28" t="s">
        <v>932</v>
      </c>
      <c r="B5466" s="278" t="s">
        <v>2030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27"/>
        <v>114.50000000000364</v>
      </c>
    </row>
    <row r="5467" spans="1:15" ht="15">
      <c r="A5467" s="28" t="s">
        <v>933</v>
      </c>
      <c r="B5467" s="278" t="s">
        <v>2027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27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27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27"/>
        <v>65.500000000003638</v>
      </c>
    </row>
    <row r="5470" spans="1:15" ht="15">
      <c r="A5470" s="28" t="s">
        <v>2505</v>
      </c>
      <c r="B5470" s="278" t="s">
        <v>2057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27"/>
        <v>57.500000000003638</v>
      </c>
    </row>
    <row r="5471" spans="1:15" ht="15">
      <c r="A5471" s="28" t="s">
        <v>3323</v>
      </c>
      <c r="B5471" s="63" t="s">
        <v>3385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3324</v>
      </c>
      <c r="B5472" s="63" t="s">
        <v>3379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3325</v>
      </c>
      <c r="B5473" s="63" t="s">
        <v>3378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3326</v>
      </c>
      <c r="B5474" s="63" t="s">
        <v>3394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3327</v>
      </c>
      <c r="B5475" s="63" t="s">
        <v>3393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3328</v>
      </c>
      <c r="B5476" s="63" t="s">
        <v>3381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3329</v>
      </c>
      <c r="B5477" s="63" t="s">
        <v>3375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3330</v>
      </c>
      <c r="B5478" s="63" t="s">
        <v>3406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3331</v>
      </c>
      <c r="B5479" s="278" t="s">
        <v>3374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3332</v>
      </c>
      <c r="B5480" s="63" t="s">
        <v>3390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3333</v>
      </c>
      <c r="B5481" s="63" t="s">
        <v>3387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3334</v>
      </c>
      <c r="B5482" s="63" t="s">
        <v>3402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3335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3336</v>
      </c>
      <c r="B5484" s="63" t="s">
        <v>3403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3337</v>
      </c>
      <c r="B5485" s="63" t="s">
        <v>3382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3338</v>
      </c>
      <c r="B5486" s="63" t="s">
        <v>3376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3339</v>
      </c>
      <c r="B5487" s="63" t="s">
        <v>3383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3340</v>
      </c>
      <c r="B5488" s="63" t="s">
        <v>3380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3341</v>
      </c>
      <c r="B5489" s="63" t="s">
        <v>3391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3342</v>
      </c>
      <c r="B5490" s="63" t="s">
        <v>3386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3343</v>
      </c>
      <c r="B5491" s="278" t="s">
        <v>3373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3344</v>
      </c>
      <c r="B5492" s="63" t="s">
        <v>3388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3345</v>
      </c>
      <c r="B5493" s="63" t="s">
        <v>3407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3346</v>
      </c>
      <c r="B5494" s="63" t="s">
        <v>3377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4138</v>
      </c>
      <c r="B5495" s="63" t="s">
        <v>3384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4139</v>
      </c>
      <c r="B5496" s="63" t="s">
        <v>3405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4140</v>
      </c>
      <c r="B5497" s="63" t="s">
        <v>3389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28">SUM(E5504:K5504)</f>
        <v>1234.9999999999964</v>
      </c>
      <c r="O5504" t="s">
        <v>2498</v>
      </c>
      <c r="R5504" s="216" t="s">
        <v>2499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28"/>
        <v>1209.0000000000109</v>
      </c>
      <c r="O5505" t="s">
        <v>2765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8"/>
        <v>1175</v>
      </c>
      <c r="O5506" t="s">
        <v>346</v>
      </c>
      <c r="R5506" s="3" t="s">
        <v>1824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8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8"/>
        <v>1106.2499999999945</v>
      </c>
      <c r="O5508" t="s">
        <v>370</v>
      </c>
      <c r="R5508" s="3" t="s">
        <v>1824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8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28"/>
        <v>1097.5000000000018</v>
      </c>
      <c r="O5510" t="s">
        <v>370</v>
      </c>
      <c r="R5510" s="3" t="s">
        <v>1824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28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28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8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28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8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28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8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8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8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8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8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28"/>
        <v>821.74999999999272</v>
      </c>
      <c r="O5522" t="s">
        <v>372</v>
      </c>
      <c r="R5522" s="216" t="s">
        <v>1824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28"/>
        <v>821.49999999999272</v>
      </c>
      <c r="O5523" t="s">
        <v>2764</v>
      </c>
      <c r="R5523" s="3" t="s">
        <v>1824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8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28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28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28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28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8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28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8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8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28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8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8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29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9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29"/>
        <v>616.74999999999636</v>
      </c>
      <c r="O5538" t="s">
        <v>372</v>
      </c>
      <c r="R5538" s="216" t="s">
        <v>1824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9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9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9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29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29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9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9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29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9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9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9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9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9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9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29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9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29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29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29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9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29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29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29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2011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29"/>
        <v>411.24999999999636</v>
      </c>
      <c r="O5562" t="s">
        <v>370</v>
      </c>
      <c r="R5562" s="216" t="s">
        <v>1824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29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9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9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29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2022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29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2014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30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30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30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30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2010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30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30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30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2012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30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30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2006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30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2013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30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2015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30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30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30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30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2007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30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30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30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30"/>
        <v>166.99999999999818</v>
      </c>
    </row>
    <row r="5587" spans="1:13" ht="15">
      <c r="A5587" s="28" t="s">
        <v>919</v>
      </c>
      <c r="B5587" s="278" t="s">
        <v>2008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30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30"/>
        <v>148.99999999999636</v>
      </c>
    </row>
    <row r="5589" spans="1:13" ht="15">
      <c r="A5589" s="28" t="s">
        <v>921</v>
      </c>
      <c r="B5589" s="278" t="s">
        <v>2054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30"/>
        <v>133.5</v>
      </c>
    </row>
    <row r="5590" spans="1:13" ht="15">
      <c r="A5590" s="28" t="s">
        <v>922</v>
      </c>
      <c r="B5590" s="278" t="s">
        <v>2028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30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30"/>
        <v>110.50000000000364</v>
      </c>
    </row>
    <row r="5592" spans="1:13" ht="15">
      <c r="A5592" s="28" t="s">
        <v>924</v>
      </c>
      <c r="B5592" s="278" t="s">
        <v>2031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30"/>
        <v>107.5</v>
      </c>
    </row>
    <row r="5593" spans="1:13" ht="15">
      <c r="A5593" s="28" t="s">
        <v>925</v>
      </c>
      <c r="B5593" s="278" t="s">
        <v>2030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30"/>
        <v>105.50000000000364</v>
      </c>
    </row>
    <row r="5594" spans="1:13" ht="15">
      <c r="A5594" s="28" t="s">
        <v>926</v>
      </c>
      <c r="B5594" s="278" t="s">
        <v>2033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30"/>
        <v>102</v>
      </c>
    </row>
    <row r="5595" spans="1:13" ht="15">
      <c r="A5595" s="28" t="s">
        <v>927</v>
      </c>
      <c r="B5595" s="278" t="s">
        <v>2161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30"/>
        <v>96.500000000001819</v>
      </c>
    </row>
    <row r="5596" spans="1:13" ht="15">
      <c r="A5596" s="28" t="s">
        <v>928</v>
      </c>
      <c r="B5596" s="278" t="s">
        <v>2056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30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30"/>
        <v>89.000000000003638</v>
      </c>
    </row>
    <row r="5598" spans="1:13" ht="15">
      <c r="A5598" s="28" t="s">
        <v>930</v>
      </c>
      <c r="B5598" s="278" t="s">
        <v>2029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30"/>
        <v>80.500000000001819</v>
      </c>
    </row>
    <row r="5599" spans="1:13" ht="15">
      <c r="A5599" s="28" t="s">
        <v>931</v>
      </c>
      <c r="B5599" s="278" t="s">
        <v>2027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30"/>
        <v>71</v>
      </c>
    </row>
    <row r="5600" spans="1:13" ht="15">
      <c r="A5600" s="28" t="s">
        <v>932</v>
      </c>
      <c r="B5600" s="278" t="s">
        <v>2057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30"/>
        <v>67.500000000003638</v>
      </c>
    </row>
    <row r="5601" spans="1:13" ht="15">
      <c r="A5601" s="28" t="s">
        <v>933</v>
      </c>
      <c r="B5601" s="278" t="s">
        <v>2034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30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30"/>
        <v>57.999999999998181</v>
      </c>
    </row>
    <row r="5603" spans="1:13" ht="15">
      <c r="A5603" s="28" t="s">
        <v>935</v>
      </c>
      <c r="B5603" s="278" t="s">
        <v>4520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30"/>
        <v>30.5</v>
      </c>
    </row>
    <row r="5604" spans="1:13" ht="15">
      <c r="A5604" s="28" t="s">
        <v>2505</v>
      </c>
      <c r="B5604" s="278" t="s">
        <v>2032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30"/>
        <v>19.999999999998181</v>
      </c>
    </row>
    <row r="5605" spans="1:13" ht="15">
      <c r="A5605" s="28" t="s">
        <v>3323</v>
      </c>
      <c r="B5605" s="63" t="s">
        <v>3385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3324</v>
      </c>
      <c r="B5606" s="63" t="s">
        <v>3379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3325</v>
      </c>
      <c r="B5607" s="63" t="s">
        <v>3378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3326</v>
      </c>
      <c r="B5608" s="63" t="s">
        <v>3394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3327</v>
      </c>
      <c r="B5609" s="63" t="s">
        <v>3393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3328</v>
      </c>
      <c r="B5610" s="63" t="s">
        <v>3381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3329</v>
      </c>
      <c r="B5611" s="63" t="s">
        <v>3375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3330</v>
      </c>
      <c r="B5612" s="63" t="s">
        <v>3406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3331</v>
      </c>
      <c r="B5613" s="278" t="s">
        <v>3374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3332</v>
      </c>
      <c r="B5614" s="63" t="s">
        <v>3390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3333</v>
      </c>
      <c r="B5615" s="63" t="s">
        <v>3387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3334</v>
      </c>
      <c r="B5616" s="63" t="s">
        <v>3402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3335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3336</v>
      </c>
      <c r="B5618" s="63" t="s">
        <v>3403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3337</v>
      </c>
      <c r="B5619" s="63" t="s">
        <v>3382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3338</v>
      </c>
      <c r="B5620" s="63" t="s">
        <v>3376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3339</v>
      </c>
      <c r="B5621" s="63" t="s">
        <v>3383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3340</v>
      </c>
      <c r="B5622" s="63" t="s">
        <v>3380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3341</v>
      </c>
      <c r="B5623" s="63" t="s">
        <v>3391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3342</v>
      </c>
      <c r="B5624" s="63" t="s">
        <v>3386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3343</v>
      </c>
      <c r="B5625" s="278" t="s">
        <v>3373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3344</v>
      </c>
      <c r="B5626" s="63" t="s">
        <v>3388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3345</v>
      </c>
      <c r="B5627" s="63" t="s">
        <v>3407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3346</v>
      </c>
      <c r="B5628" s="63" t="s">
        <v>3377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4138</v>
      </c>
      <c r="B5629" s="63" t="s">
        <v>3384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4139</v>
      </c>
      <c r="B5630" s="63" t="s">
        <v>3405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4140</v>
      </c>
      <c r="B5631" s="63" t="s">
        <v>3389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2500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31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31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31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31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31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31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31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31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31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31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31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31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31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31"/>
        <v>952.5</v>
      </c>
      <c r="O5651" t="s">
        <v>282</v>
      </c>
      <c r="R5651" s="216" t="s">
        <v>2501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31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31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31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31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31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31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31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31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31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31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31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31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31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31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31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2022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31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31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31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2006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31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31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31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31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31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31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31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31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31"/>
        <v>714.3</v>
      </c>
      <c r="O5678" t="s">
        <v>282</v>
      </c>
      <c r="R5678" s="3" t="s">
        <v>2501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2015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31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31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31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2014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31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2010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31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2013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31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31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31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31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31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31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31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31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31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31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31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31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2012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31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31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31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31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31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31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2011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32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32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32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32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32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32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32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2008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32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32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32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32"/>
        <v>342.64999999999782</v>
      </c>
    </row>
    <row r="5713" spans="1:13" ht="15">
      <c r="A5713" s="28" t="s">
        <v>911</v>
      </c>
      <c r="B5713" s="278" t="s">
        <v>2007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32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32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32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32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32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32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32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32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32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32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32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32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32"/>
        <v>0</v>
      </c>
    </row>
    <row r="5726" spans="1:13" ht="15">
      <c r="A5726" s="28" t="s">
        <v>924</v>
      </c>
      <c r="B5726" s="278" t="s">
        <v>2161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2031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2027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4559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2033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2029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2032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2034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2054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2028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2057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2056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2505</v>
      </c>
      <c r="B5738" s="278" t="s">
        <v>2030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3323</v>
      </c>
      <c r="B5739" s="63" t="s">
        <v>3385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3324</v>
      </c>
      <c r="B5740" s="63" t="s">
        <v>3379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3325</v>
      </c>
      <c r="B5741" s="63" t="s">
        <v>3378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3326</v>
      </c>
      <c r="B5742" s="63" t="s">
        <v>3394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3327</v>
      </c>
      <c r="B5743" s="63" t="s">
        <v>3393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3328</v>
      </c>
      <c r="B5744" s="63" t="s">
        <v>3381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3329</v>
      </c>
      <c r="B5745" s="63" t="s">
        <v>3375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3330</v>
      </c>
      <c r="B5746" s="63" t="s">
        <v>3406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3331</v>
      </c>
      <c r="B5747" s="278" t="s">
        <v>3374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3332</v>
      </c>
      <c r="B5748" s="63" t="s">
        <v>3390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3333</v>
      </c>
      <c r="B5749" s="63" t="s">
        <v>3387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3334</v>
      </c>
      <c r="B5750" s="63" t="s">
        <v>3402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3335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3336</v>
      </c>
      <c r="B5752" s="63" t="s">
        <v>3403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3337</v>
      </c>
      <c r="B5753" s="63" t="s">
        <v>3382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3338</v>
      </c>
      <c r="B5754" s="63" t="s">
        <v>3376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3339</v>
      </c>
      <c r="B5755" s="63" t="s">
        <v>3383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3340</v>
      </c>
      <c r="B5756" s="63" t="s">
        <v>3380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3341</v>
      </c>
      <c r="B5757" s="63" t="s">
        <v>3391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3342</v>
      </c>
      <c r="B5758" s="63" t="s">
        <v>3386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3343</v>
      </c>
      <c r="B5759" s="278" t="s">
        <v>3373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3344</v>
      </c>
      <c r="B5760" s="63" t="s">
        <v>3388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3345</v>
      </c>
      <c r="B5761" s="63" t="s">
        <v>3407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3346</v>
      </c>
      <c r="B5762" s="63" t="s">
        <v>3377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4138</v>
      </c>
      <c r="B5763" s="63" t="s">
        <v>3384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4139</v>
      </c>
      <c r="B5764" s="63" t="s">
        <v>3405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4140</v>
      </c>
      <c r="B5765" s="63" t="s">
        <v>3389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2502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33">SUM(E5772:J5772)</f>
        <v>1560.3999999999949</v>
      </c>
      <c r="O5772" t="s">
        <v>282</v>
      </c>
      <c r="Q5772" s="119"/>
      <c r="R5772" s="3" t="s">
        <v>2503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33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33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33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33"/>
        <v>1270.750000000005</v>
      </c>
      <c r="O5776" t="s">
        <v>282</v>
      </c>
      <c r="Q5776" s="365"/>
      <c r="R5776" s="216" t="s">
        <v>2503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33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33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33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33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33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33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33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33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33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33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33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33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33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2012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33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33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2011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33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33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33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33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33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33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2022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33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2010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33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2008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33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33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33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33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33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33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33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33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33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33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33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33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2015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33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33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33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33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2013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33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33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33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33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33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33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33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33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33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33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33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33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2006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33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33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33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33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33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33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33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33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34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34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34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34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34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34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2014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34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34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2007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34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34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34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34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34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34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34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34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34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34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34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34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34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34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34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34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2505</v>
      </c>
    </row>
    <row r="5873" spans="1:2" ht="14.25">
      <c r="A5873" s="28" t="s">
        <v>3323</v>
      </c>
      <c r="B5873" s="63" t="s">
        <v>3385</v>
      </c>
    </row>
    <row r="5874" spans="1:2" ht="14.25">
      <c r="A5874" s="28" t="s">
        <v>3324</v>
      </c>
      <c r="B5874" s="63" t="s">
        <v>3379</v>
      </c>
    </row>
    <row r="5875" spans="1:2" ht="14.25">
      <c r="A5875" s="28" t="s">
        <v>3325</v>
      </c>
      <c r="B5875" s="63" t="s">
        <v>3378</v>
      </c>
    </row>
    <row r="5876" spans="1:2" ht="14.25">
      <c r="A5876" s="28" t="s">
        <v>3326</v>
      </c>
      <c r="B5876" s="63" t="s">
        <v>3394</v>
      </c>
    </row>
    <row r="5877" spans="1:2" ht="14.25">
      <c r="A5877" s="28" t="s">
        <v>3327</v>
      </c>
      <c r="B5877" s="63" t="s">
        <v>3393</v>
      </c>
    </row>
    <row r="5878" spans="1:2" ht="14.25">
      <c r="A5878" s="28" t="s">
        <v>3328</v>
      </c>
      <c r="B5878" s="63" t="s">
        <v>3381</v>
      </c>
    </row>
    <row r="5879" spans="1:2" ht="14.25">
      <c r="A5879" s="28" t="s">
        <v>3329</v>
      </c>
      <c r="B5879" s="63" t="s">
        <v>3375</v>
      </c>
    </row>
    <row r="5880" spans="1:2" ht="14.25">
      <c r="A5880" s="28" t="s">
        <v>3330</v>
      </c>
      <c r="B5880" s="63" t="s">
        <v>3406</v>
      </c>
    </row>
    <row r="5881" spans="1:2" ht="14.25">
      <c r="A5881" s="28" t="s">
        <v>3331</v>
      </c>
      <c r="B5881" s="278" t="s">
        <v>3374</v>
      </c>
    </row>
    <row r="5882" spans="1:2" ht="14.25">
      <c r="A5882" s="28" t="s">
        <v>3332</v>
      </c>
      <c r="B5882" s="63" t="s">
        <v>3390</v>
      </c>
    </row>
    <row r="5883" spans="1:2" ht="14.25">
      <c r="A5883" s="28" t="s">
        <v>3333</v>
      </c>
      <c r="B5883" s="63" t="s">
        <v>3387</v>
      </c>
    </row>
    <row r="5884" spans="1:2" ht="14.25">
      <c r="A5884" s="28" t="s">
        <v>3334</v>
      </c>
      <c r="B5884" s="63" t="s">
        <v>3402</v>
      </c>
    </row>
    <row r="5885" spans="1:2" ht="14.25">
      <c r="A5885" s="28" t="s">
        <v>3335</v>
      </c>
      <c r="B5885" s="63" t="s">
        <v>180</v>
      </c>
    </row>
    <row r="5886" spans="1:2" ht="14.25">
      <c r="A5886" s="28" t="s">
        <v>3336</v>
      </c>
      <c r="B5886" s="63" t="s">
        <v>3403</v>
      </c>
    </row>
    <row r="5887" spans="1:2" ht="14.25">
      <c r="A5887" s="28" t="s">
        <v>3337</v>
      </c>
      <c r="B5887" s="63" t="s">
        <v>3382</v>
      </c>
    </row>
    <row r="5888" spans="1:2" ht="14.25">
      <c r="A5888" s="28" t="s">
        <v>3338</v>
      </c>
      <c r="B5888" s="63" t="s">
        <v>3376</v>
      </c>
    </row>
    <row r="5889" spans="1:2" ht="14.25">
      <c r="A5889" s="28" t="s">
        <v>3339</v>
      </c>
      <c r="B5889" s="63" t="s">
        <v>3383</v>
      </c>
    </row>
    <row r="5890" spans="1:2" ht="14.25">
      <c r="A5890" s="28" t="s">
        <v>3340</v>
      </c>
      <c r="B5890" s="63" t="s">
        <v>3380</v>
      </c>
    </row>
    <row r="5891" spans="1:2" ht="14.25">
      <c r="A5891" s="28" t="s">
        <v>3341</v>
      </c>
      <c r="B5891" s="63" t="s">
        <v>3391</v>
      </c>
    </row>
    <row r="5892" spans="1:2" ht="14.25">
      <c r="A5892" s="28" t="s">
        <v>3342</v>
      </c>
      <c r="B5892" s="63" t="s">
        <v>3386</v>
      </c>
    </row>
    <row r="5893" spans="1:2" ht="14.25">
      <c r="A5893" s="28" t="s">
        <v>3343</v>
      </c>
      <c r="B5893" s="278" t="s">
        <v>3373</v>
      </c>
    </row>
    <row r="5894" spans="1:2" ht="14.25">
      <c r="A5894" s="28" t="s">
        <v>3344</v>
      </c>
      <c r="B5894" s="63" t="s">
        <v>3388</v>
      </c>
    </row>
    <row r="5895" spans="1:2" ht="14.25">
      <c r="A5895" s="28" t="s">
        <v>3345</v>
      </c>
      <c r="B5895" s="63" t="s">
        <v>3407</v>
      </c>
    </row>
    <row r="5896" spans="1:2" ht="14.25">
      <c r="A5896" s="28" t="s">
        <v>3346</v>
      </c>
      <c r="B5896" s="63" t="s">
        <v>3377</v>
      </c>
    </row>
    <row r="5897" spans="1:2" ht="14.25">
      <c r="A5897" s="28" t="s">
        <v>4138</v>
      </c>
      <c r="B5897" s="63" t="s">
        <v>3384</v>
      </c>
    </row>
    <row r="5898" spans="1:2" ht="14.25">
      <c r="A5898" s="28" t="s">
        <v>4139</v>
      </c>
      <c r="B5898" s="63" t="s">
        <v>3405</v>
      </c>
    </row>
    <row r="5899" spans="1:2" ht="14.25">
      <c r="A5899" s="28" t="s">
        <v>4140</v>
      </c>
      <c r="B5899" s="63" t="s">
        <v>3389</v>
      </c>
    </row>
  </sheetData>
  <sortState xmlns:xlrd2="http://schemas.microsoft.com/office/spreadsheetml/2017/richdata2" ref="B1752:S1879">
    <sortCondition descending="1" ref="N1752:N187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zoomScaleNormal="100" workbookViewId="0">
      <selection activeCell="B3" sqref="B3:K102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3380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3391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2211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35" t="s">
        <v>1645</v>
      </c>
      <c r="E10" s="1">
        <v>2021</v>
      </c>
      <c r="F10" t="s">
        <v>188</v>
      </c>
      <c r="J10" s="1" t="s">
        <v>814</v>
      </c>
      <c r="K10" s="10">
        <v>807.8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3389</v>
      </c>
      <c r="E11" s="1">
        <v>2023</v>
      </c>
      <c r="F11" t="s">
        <v>188</v>
      </c>
      <c r="J11" s="1" t="s">
        <v>816</v>
      </c>
      <c r="K11" s="10">
        <v>807.59999999999991</v>
      </c>
      <c r="L11" s="116"/>
      <c r="M11" s="18" t="s">
        <v>14</v>
      </c>
      <c r="N11" s="379" t="s">
        <v>2012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3391</v>
      </c>
      <c r="E12" s="1">
        <v>2023</v>
      </c>
      <c r="F12" t="s">
        <v>192</v>
      </c>
      <c r="J12" s="1" t="s">
        <v>814</v>
      </c>
      <c r="K12" s="10">
        <v>806.5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764</v>
      </c>
      <c r="E13" s="1">
        <v>2021</v>
      </c>
      <c r="F13" t="s">
        <v>186</v>
      </c>
      <c r="J13" s="1" t="s">
        <v>882</v>
      </c>
      <c r="K13" s="10">
        <v>806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1647</v>
      </c>
      <c r="E14" s="1">
        <v>2021</v>
      </c>
      <c r="F14" t="s">
        <v>186</v>
      </c>
      <c r="J14" s="1" t="s">
        <v>883</v>
      </c>
      <c r="K14" s="10">
        <v>805.39999999999986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51" t="s">
        <v>33</v>
      </c>
      <c r="E15" s="1">
        <v>2019</v>
      </c>
      <c r="F15" t="s">
        <v>188</v>
      </c>
      <c r="J15" s="1" t="s">
        <v>814</v>
      </c>
      <c r="K15" s="10">
        <v>802.75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141</v>
      </c>
      <c r="E16" s="1">
        <v>2021</v>
      </c>
      <c r="F16" t="s">
        <v>186</v>
      </c>
      <c r="J16" s="1" t="s">
        <v>884</v>
      </c>
      <c r="K16" s="10">
        <v>795.7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51" t="s">
        <v>769</v>
      </c>
      <c r="E17" s="1">
        <v>2019</v>
      </c>
      <c r="F17" t="s">
        <v>188</v>
      </c>
      <c r="J17" s="1" t="s">
        <v>815</v>
      </c>
      <c r="K17" s="10">
        <v>792.3</v>
      </c>
      <c r="L17" s="116"/>
      <c r="M17" s="18" t="s">
        <v>26</v>
      </c>
      <c r="N17" s="220" t="s">
        <v>21</v>
      </c>
      <c r="Q17" s="1">
        <v>2022</v>
      </c>
      <c r="R17" t="s">
        <v>2211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35" t="s">
        <v>748</v>
      </c>
      <c r="E18" s="1">
        <v>2023</v>
      </c>
      <c r="F18" t="s">
        <v>188</v>
      </c>
      <c r="J18" s="1" t="s">
        <v>880</v>
      </c>
      <c r="K18" s="10">
        <v>791.70000000000073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220" t="s">
        <v>1645</v>
      </c>
      <c r="E19" s="1">
        <v>2021</v>
      </c>
      <c r="F19" t="s">
        <v>186</v>
      </c>
      <c r="J19" s="1" t="s">
        <v>885</v>
      </c>
      <c r="K19" s="10">
        <v>787.3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796</v>
      </c>
      <c r="E20" s="1">
        <v>2021</v>
      </c>
      <c r="F20" t="s">
        <v>186</v>
      </c>
      <c r="J20" s="1" t="s">
        <v>886</v>
      </c>
      <c r="K20" s="10">
        <v>781.39999999999986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788</v>
      </c>
      <c r="E21" s="1">
        <v>2021</v>
      </c>
      <c r="F21" t="s">
        <v>186</v>
      </c>
      <c r="J21" s="1" t="s">
        <v>937</v>
      </c>
      <c r="K21" s="10">
        <v>778.54999999999973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153</v>
      </c>
      <c r="E22" s="1">
        <v>2021</v>
      </c>
      <c r="F22" t="s">
        <v>186</v>
      </c>
      <c r="J22" s="1" t="s">
        <v>938</v>
      </c>
      <c r="K22" s="10">
        <v>773.90000000000055</v>
      </c>
      <c r="L22" s="116"/>
      <c r="M22" s="18" t="s">
        <v>36</v>
      </c>
      <c r="N22" s="379" t="s">
        <v>2010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51" t="s">
        <v>21</v>
      </c>
      <c r="E23" s="1">
        <v>2021</v>
      </c>
      <c r="F23" t="s">
        <v>186</v>
      </c>
      <c r="J23" s="1" t="s">
        <v>939</v>
      </c>
      <c r="K23" s="10">
        <v>763.900000000001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1653</v>
      </c>
      <c r="E24" s="1">
        <v>2023</v>
      </c>
      <c r="F24" t="s">
        <v>192</v>
      </c>
      <c r="J24" s="1" t="s">
        <v>815</v>
      </c>
      <c r="K24" s="10">
        <v>761.3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51" t="s">
        <v>153</v>
      </c>
      <c r="E25" s="1">
        <v>2019</v>
      </c>
      <c r="F25" t="s">
        <v>208</v>
      </c>
      <c r="J25" s="1" t="s">
        <v>814</v>
      </c>
      <c r="K25" s="10">
        <v>761</v>
      </c>
      <c r="L25" s="116"/>
      <c r="M25" s="18" t="s">
        <v>146</v>
      </c>
      <c r="N25" s="379" t="s">
        <v>2012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5" t="s">
        <v>154</v>
      </c>
      <c r="E26" s="1">
        <v>2021</v>
      </c>
      <c r="F26" t="s">
        <v>186</v>
      </c>
      <c r="J26" s="1" t="s">
        <v>940</v>
      </c>
      <c r="K26" s="10">
        <v>758.10000000000014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79" t="s">
        <v>27</v>
      </c>
      <c r="E27" s="1">
        <v>2021</v>
      </c>
      <c r="F27" t="s">
        <v>186</v>
      </c>
      <c r="J27" s="1" t="s">
        <v>942</v>
      </c>
      <c r="K27" s="10">
        <v>756.90000000000077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220" t="s">
        <v>1653</v>
      </c>
      <c r="E28" s="1">
        <v>2021</v>
      </c>
      <c r="F28" t="s">
        <v>186</v>
      </c>
      <c r="J28" s="1" t="s">
        <v>941</v>
      </c>
      <c r="K28" s="10">
        <v>756.19999999999936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757</v>
      </c>
      <c r="E29" s="1">
        <v>2021</v>
      </c>
      <c r="F29" t="s">
        <v>186</v>
      </c>
      <c r="J29" s="1" t="s">
        <v>943</v>
      </c>
      <c r="K29" s="10">
        <v>754.59999999999991</v>
      </c>
      <c r="L29" s="116"/>
      <c r="M29" s="18" t="s">
        <v>159</v>
      </c>
      <c r="N29" s="379" t="s">
        <v>2161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2012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762</v>
      </c>
      <c r="E30" s="1">
        <v>2020</v>
      </c>
      <c r="F30" t="s">
        <v>196</v>
      </c>
      <c r="J30" s="1" t="s">
        <v>814</v>
      </c>
      <c r="K30" s="10">
        <v>753.69999999999709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79" t="s">
        <v>37</v>
      </c>
      <c r="E31" s="1">
        <v>2021</v>
      </c>
      <c r="F31" t="s">
        <v>186</v>
      </c>
      <c r="J31" s="1" t="s">
        <v>944</v>
      </c>
      <c r="K31" s="10">
        <v>750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33</v>
      </c>
      <c r="E32" s="1">
        <v>2021</v>
      </c>
      <c r="F32" t="s">
        <v>186</v>
      </c>
      <c r="J32" s="1" t="s">
        <v>945</v>
      </c>
      <c r="K32" s="10">
        <v>749.40000000000009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2027</v>
      </c>
      <c r="E33" s="1">
        <v>2023</v>
      </c>
      <c r="F33" t="s">
        <v>188</v>
      </c>
      <c r="J33" s="1" t="s">
        <v>881</v>
      </c>
      <c r="K33" s="10">
        <v>746.10000000000036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5" t="s">
        <v>738</v>
      </c>
      <c r="E34" s="1">
        <v>2021</v>
      </c>
      <c r="F34" t="s">
        <v>186</v>
      </c>
      <c r="J34" s="1" t="s">
        <v>946</v>
      </c>
      <c r="K34" s="10">
        <v>745.90000000000009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3389</v>
      </c>
      <c r="E35" s="1">
        <v>2023</v>
      </c>
      <c r="F35" t="s">
        <v>192</v>
      </c>
      <c r="J35" s="1" t="s">
        <v>816</v>
      </c>
      <c r="K35" s="10">
        <v>745.9</v>
      </c>
      <c r="L35" s="116"/>
      <c r="M35" s="18" t="s">
        <v>277</v>
      </c>
      <c r="N35" s="379" t="s">
        <v>1647</v>
      </c>
      <c r="Q35" s="1">
        <v>2022</v>
      </c>
      <c r="R35" t="s">
        <v>2211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79" t="s">
        <v>2022</v>
      </c>
      <c r="E36" s="1">
        <v>2021</v>
      </c>
      <c r="F36" t="s">
        <v>186</v>
      </c>
      <c r="J36" s="1" t="s">
        <v>950</v>
      </c>
      <c r="K36" s="10">
        <v>743.90000000000009</v>
      </c>
      <c r="L36" s="116"/>
      <c r="M36" s="18" t="s">
        <v>278</v>
      </c>
      <c r="N36" s="51" t="s">
        <v>155</v>
      </c>
      <c r="Q36" s="1">
        <v>2023</v>
      </c>
      <c r="R36" t="s">
        <v>2211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5" t="s">
        <v>779</v>
      </c>
      <c r="E37" s="1">
        <v>2021</v>
      </c>
      <c r="F37" t="s">
        <v>186</v>
      </c>
      <c r="J37" s="1" t="s">
        <v>947</v>
      </c>
      <c r="K37" s="10">
        <v>743.90000000000009</v>
      </c>
      <c r="L37" s="116"/>
      <c r="M37" s="18" t="s">
        <v>735</v>
      </c>
      <c r="N37" s="379" t="s">
        <v>2022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3391</v>
      </c>
      <c r="E38" s="1">
        <v>2023</v>
      </c>
      <c r="F38" t="s">
        <v>3536</v>
      </c>
      <c r="J38" s="1" t="s">
        <v>814</v>
      </c>
      <c r="K38" s="10">
        <v>742.9</v>
      </c>
      <c r="L38" s="116"/>
      <c r="M38" s="18" t="s">
        <v>736</v>
      </c>
      <c r="N38" s="51" t="s">
        <v>2006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9</v>
      </c>
      <c r="E39" s="1">
        <v>2023</v>
      </c>
      <c r="F39" t="s">
        <v>188</v>
      </c>
      <c r="J39" s="1" t="s">
        <v>882</v>
      </c>
      <c r="K39" s="10">
        <v>742.69999999999891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763</v>
      </c>
      <c r="E40" s="1">
        <v>2021</v>
      </c>
      <c r="F40" t="s">
        <v>186</v>
      </c>
      <c r="J40" s="1" t="s">
        <v>948</v>
      </c>
      <c r="K40" s="10">
        <v>740.7</v>
      </c>
      <c r="L40" s="116"/>
      <c r="M40" s="18" t="s">
        <v>739</v>
      </c>
      <c r="N40" s="379" t="s">
        <v>11</v>
      </c>
      <c r="Q40" s="1">
        <v>2023</v>
      </c>
      <c r="R40" t="s">
        <v>2211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51" t="s">
        <v>6</v>
      </c>
      <c r="E41" s="1">
        <v>2017</v>
      </c>
      <c r="F41" t="s">
        <v>188</v>
      </c>
      <c r="J41" s="1" t="s">
        <v>814</v>
      </c>
      <c r="K41" s="10">
        <v>739</v>
      </c>
      <c r="L41" s="116"/>
      <c r="M41" s="18" t="s">
        <v>745</v>
      </c>
      <c r="N41" s="51" t="s">
        <v>11</v>
      </c>
      <c r="Q41" s="1">
        <v>2019</v>
      </c>
      <c r="R41" t="s">
        <v>2211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220" t="s">
        <v>1660</v>
      </c>
      <c r="E42" s="1">
        <v>2021</v>
      </c>
      <c r="F42" t="s">
        <v>186</v>
      </c>
      <c r="J42" s="1" t="s">
        <v>949</v>
      </c>
      <c r="K42" s="10">
        <v>735.10000000000036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35" t="s">
        <v>783</v>
      </c>
      <c r="E43" s="1">
        <v>2021</v>
      </c>
      <c r="F43" t="s">
        <v>186</v>
      </c>
      <c r="J43" s="1" t="s">
        <v>1790</v>
      </c>
      <c r="K43" s="10">
        <v>734.89999999999986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51" t="s">
        <v>3407</v>
      </c>
      <c r="E44" s="1">
        <v>2023</v>
      </c>
      <c r="F44" t="s">
        <v>192</v>
      </c>
      <c r="J44" s="1" t="s">
        <v>880</v>
      </c>
      <c r="K44" s="10">
        <v>734.55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79" t="s">
        <v>2006</v>
      </c>
      <c r="E45" s="1">
        <v>2021</v>
      </c>
      <c r="F45" t="s">
        <v>186</v>
      </c>
      <c r="J45" s="1" t="s">
        <v>1791</v>
      </c>
      <c r="K45" s="10">
        <v>733.60000000000014</v>
      </c>
      <c r="L45" s="116"/>
      <c r="M45" s="18" t="s">
        <v>754</v>
      </c>
      <c r="N45" s="379" t="s">
        <v>2006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379" t="s">
        <v>23</v>
      </c>
      <c r="E46" s="1">
        <v>2020</v>
      </c>
      <c r="F46" t="s">
        <v>196</v>
      </c>
      <c r="J46" s="1" t="s">
        <v>815</v>
      </c>
      <c r="K46" s="10">
        <v>731.80000000000291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5" t="s">
        <v>155</v>
      </c>
      <c r="E47" s="1">
        <v>2021</v>
      </c>
      <c r="F47" t="s">
        <v>186</v>
      </c>
      <c r="J47" s="1" t="s">
        <v>1792</v>
      </c>
      <c r="K47" s="10">
        <v>728.50000000000023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2032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6</v>
      </c>
      <c r="E48" s="1">
        <v>2021</v>
      </c>
      <c r="F48" t="s">
        <v>186</v>
      </c>
      <c r="J48" s="1" t="s">
        <v>1793</v>
      </c>
      <c r="K48" s="10">
        <v>726.99999999999977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51" t="s">
        <v>142</v>
      </c>
      <c r="E49" s="1">
        <v>2021</v>
      </c>
      <c r="F49" t="s">
        <v>213</v>
      </c>
      <c r="J49" s="1" t="s">
        <v>814</v>
      </c>
      <c r="K49" s="10">
        <v>726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2027</v>
      </c>
      <c r="E50" s="1">
        <v>2023</v>
      </c>
      <c r="F50" t="s">
        <v>3536</v>
      </c>
      <c r="J50" s="1" t="s">
        <v>815</v>
      </c>
      <c r="K50" s="10">
        <v>723.2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2014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220" t="s">
        <v>1659</v>
      </c>
      <c r="E51" s="1">
        <v>2021</v>
      </c>
      <c r="F51" t="s">
        <v>186</v>
      </c>
      <c r="J51" s="1" t="s">
        <v>1794</v>
      </c>
      <c r="K51" s="10">
        <v>721.19999999999982</v>
      </c>
      <c r="L51" s="116"/>
      <c r="M51" s="18" t="s">
        <v>773</v>
      </c>
      <c r="N51" s="379" t="s">
        <v>779</v>
      </c>
      <c r="Q51" s="1">
        <v>2023</v>
      </c>
      <c r="R51" t="s">
        <v>2211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2033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5" t="s">
        <v>2022</v>
      </c>
      <c r="E52" s="1">
        <v>2023</v>
      </c>
      <c r="F52" t="s">
        <v>192</v>
      </c>
      <c r="J52" s="1" t="s">
        <v>881</v>
      </c>
      <c r="K52" s="10">
        <v>720.2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379" t="s">
        <v>39</v>
      </c>
      <c r="E53" s="1">
        <v>2021</v>
      </c>
      <c r="F53" t="s">
        <v>186</v>
      </c>
      <c r="J53" s="1" t="s">
        <v>1795</v>
      </c>
      <c r="K53" s="10">
        <v>720.10000000000036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2006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771</v>
      </c>
      <c r="E54" s="1">
        <v>2021</v>
      </c>
      <c r="F54" t="s">
        <v>186</v>
      </c>
      <c r="J54" s="1" t="s">
        <v>1796</v>
      </c>
      <c r="K54" s="10">
        <v>719.50000000000045</v>
      </c>
      <c r="L54" s="116"/>
      <c r="M54" s="18" t="s">
        <v>786</v>
      </c>
      <c r="N54" s="379" t="s">
        <v>2033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5" t="s">
        <v>3382</v>
      </c>
      <c r="E55" s="1">
        <v>2023</v>
      </c>
      <c r="F55" t="s">
        <v>192</v>
      </c>
      <c r="J55" s="1" t="s">
        <v>882</v>
      </c>
      <c r="K55" s="10">
        <v>717.8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79" t="s">
        <v>23</v>
      </c>
      <c r="E56" s="1">
        <v>2021</v>
      </c>
      <c r="F56" t="s">
        <v>186</v>
      </c>
      <c r="J56" s="1" t="s">
        <v>1797</v>
      </c>
      <c r="K56" s="10">
        <v>715.0499999999995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237" t="s">
        <v>1641</v>
      </c>
      <c r="E57" s="1">
        <v>2020</v>
      </c>
      <c r="F57" t="s">
        <v>196</v>
      </c>
      <c r="J57" s="1" t="s">
        <v>816</v>
      </c>
      <c r="K57" s="10">
        <v>713.49999999999818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220" t="s">
        <v>1656</v>
      </c>
      <c r="E58" s="1">
        <v>2021</v>
      </c>
      <c r="F58" t="s">
        <v>186</v>
      </c>
      <c r="J58" s="1" t="s">
        <v>1798</v>
      </c>
      <c r="K58" s="10">
        <v>713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379" t="s">
        <v>11</v>
      </c>
      <c r="E59" s="1">
        <v>2021</v>
      </c>
      <c r="F59" t="s">
        <v>186</v>
      </c>
      <c r="J59" s="1" t="s">
        <v>1799</v>
      </c>
      <c r="K59" s="10">
        <v>711.69999999999936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51" t="s">
        <v>744</v>
      </c>
      <c r="E60" s="1">
        <v>2019</v>
      </c>
      <c r="F60" t="s">
        <v>188</v>
      </c>
      <c r="J60" s="1" t="s">
        <v>816</v>
      </c>
      <c r="K60" s="10">
        <v>711.65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51" t="s">
        <v>763</v>
      </c>
      <c r="E61" s="1">
        <v>2021</v>
      </c>
      <c r="F61" t="s">
        <v>188</v>
      </c>
      <c r="J61" s="1" t="s">
        <v>815</v>
      </c>
      <c r="K61" s="10">
        <v>711.1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35" t="s">
        <v>796</v>
      </c>
      <c r="E62" s="1">
        <v>2023</v>
      </c>
      <c r="F62" t="s">
        <v>188</v>
      </c>
      <c r="J62" s="1" t="s">
        <v>883</v>
      </c>
      <c r="K62" s="10">
        <v>710.80000000000018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142</v>
      </c>
      <c r="E63" s="1">
        <v>2021</v>
      </c>
      <c r="F63" t="s">
        <v>186</v>
      </c>
      <c r="J63" s="1" t="s">
        <v>1800</v>
      </c>
      <c r="K63" s="10">
        <v>710.79999999999927</v>
      </c>
      <c r="L63" s="116"/>
      <c r="M63" s="18" t="s">
        <v>896</v>
      </c>
      <c r="N63" s="379" t="s">
        <v>2031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79" t="s">
        <v>6</v>
      </c>
      <c r="E64" s="1">
        <v>2020</v>
      </c>
      <c r="F64" t="s">
        <v>196</v>
      </c>
      <c r="J64" s="1" t="s">
        <v>880</v>
      </c>
      <c r="K64" s="10">
        <v>710.70000000000073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35" t="s">
        <v>3378</v>
      </c>
      <c r="E65" s="1">
        <v>2023</v>
      </c>
      <c r="F65" t="s">
        <v>188</v>
      </c>
      <c r="J65" s="1" t="s">
        <v>884</v>
      </c>
      <c r="K65" s="10">
        <v>710.05000000000109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5" t="s">
        <v>3378</v>
      </c>
      <c r="E66" s="1">
        <v>2023</v>
      </c>
      <c r="F66" t="s">
        <v>3536</v>
      </c>
      <c r="J66" s="1" t="s">
        <v>816</v>
      </c>
      <c r="K66" s="10">
        <v>707.8</v>
      </c>
      <c r="L66" s="116"/>
      <c r="M66" s="18" t="s">
        <v>899</v>
      </c>
      <c r="N66" s="379" t="s">
        <v>154</v>
      </c>
      <c r="Q66" s="1">
        <v>2023</v>
      </c>
      <c r="R66" t="s">
        <v>2211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79" t="s">
        <v>2029</v>
      </c>
      <c r="E67" s="1">
        <v>2023</v>
      </c>
      <c r="F67" t="s">
        <v>3536</v>
      </c>
      <c r="J67" s="1" t="s">
        <v>880</v>
      </c>
      <c r="K67" s="10">
        <v>705.1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141</v>
      </c>
      <c r="E68" s="1">
        <v>2020</v>
      </c>
      <c r="F68" t="s">
        <v>196</v>
      </c>
      <c r="J68" s="1" t="s">
        <v>881</v>
      </c>
      <c r="K68" s="10">
        <v>704.99999999999454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51" t="s">
        <v>6</v>
      </c>
      <c r="E69" s="1">
        <v>2016</v>
      </c>
      <c r="F69" t="s">
        <v>189</v>
      </c>
      <c r="J69" s="1" t="s">
        <v>814</v>
      </c>
      <c r="K69" s="10">
        <v>703.8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51" t="s">
        <v>21</v>
      </c>
      <c r="E70" s="1">
        <v>2021</v>
      </c>
      <c r="F70" t="s">
        <v>213</v>
      </c>
      <c r="J70" s="1" t="s">
        <v>815</v>
      </c>
      <c r="K70" s="10">
        <v>702.7</v>
      </c>
      <c r="L70" s="116"/>
      <c r="M70" s="18" t="s">
        <v>903</v>
      </c>
      <c r="N70" s="51" t="s">
        <v>2033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35" t="s">
        <v>771</v>
      </c>
      <c r="E71" s="1">
        <v>2023</v>
      </c>
      <c r="F71" t="s">
        <v>188</v>
      </c>
      <c r="J71" s="1" t="s">
        <v>885</v>
      </c>
      <c r="K71" s="10">
        <v>700.39999999999964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35" t="s">
        <v>1647</v>
      </c>
      <c r="E72" s="1">
        <v>2021</v>
      </c>
      <c r="F72" t="s">
        <v>196</v>
      </c>
      <c r="J72" s="1" t="s">
        <v>814</v>
      </c>
      <c r="K72" s="10">
        <v>700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51" t="s">
        <v>153</v>
      </c>
      <c r="E73" s="1">
        <v>2019</v>
      </c>
      <c r="F73" t="s">
        <v>2212</v>
      </c>
      <c r="J73" s="1" t="s">
        <v>814</v>
      </c>
      <c r="K73" s="10">
        <v>699.5</v>
      </c>
      <c r="L73" s="116"/>
      <c r="M73" s="18" t="s">
        <v>906</v>
      </c>
      <c r="N73" s="379" t="s">
        <v>2010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3390</v>
      </c>
      <c r="E74" s="1">
        <v>2023</v>
      </c>
      <c r="F74" t="s">
        <v>188</v>
      </c>
      <c r="J74" s="1" t="s">
        <v>886</v>
      </c>
      <c r="K74" s="10">
        <v>697.30000000000109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379" t="s">
        <v>155</v>
      </c>
      <c r="E75" s="1">
        <v>2021</v>
      </c>
      <c r="F75" t="s">
        <v>213</v>
      </c>
      <c r="J75" s="1" t="s">
        <v>816</v>
      </c>
      <c r="K75" s="10">
        <v>697.1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79" t="s">
        <v>2029</v>
      </c>
      <c r="E76" s="1">
        <v>2023</v>
      </c>
      <c r="F76" t="s">
        <v>188</v>
      </c>
      <c r="J76" s="1" t="s">
        <v>937</v>
      </c>
      <c r="K76" s="10">
        <v>696.10000000000036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51" t="s">
        <v>796</v>
      </c>
      <c r="E77" s="1">
        <v>2019</v>
      </c>
      <c r="F77" t="s">
        <v>213</v>
      </c>
      <c r="J77" s="1" t="s">
        <v>814</v>
      </c>
      <c r="K77" s="10">
        <v>695.6</v>
      </c>
      <c r="L77" s="116"/>
      <c r="M77" s="18" t="s">
        <v>910</v>
      </c>
      <c r="N77" s="379" t="s">
        <v>733</v>
      </c>
      <c r="Q77" s="1">
        <v>2023</v>
      </c>
      <c r="R77" t="s">
        <v>2211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5" t="s">
        <v>3407</v>
      </c>
      <c r="E78" s="1">
        <v>2023</v>
      </c>
      <c r="F78" t="s">
        <v>188</v>
      </c>
      <c r="J78" s="1" t="s">
        <v>938</v>
      </c>
      <c r="K78" s="10">
        <v>690.55000000000018</v>
      </c>
      <c r="L78" s="116"/>
      <c r="M78" s="18" t="s">
        <v>911</v>
      </c>
      <c r="N78" s="379" t="s">
        <v>2006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3389</v>
      </c>
      <c r="E79" s="1">
        <v>2023</v>
      </c>
      <c r="F79" t="s">
        <v>3536</v>
      </c>
      <c r="J79" s="1" t="s">
        <v>881</v>
      </c>
      <c r="K79" s="10">
        <v>690</v>
      </c>
      <c r="L79" s="116"/>
      <c r="M79" s="18" t="s">
        <v>912</v>
      </c>
      <c r="N79" s="209" t="s">
        <v>1647</v>
      </c>
      <c r="Q79" s="1">
        <v>2023</v>
      </c>
      <c r="R79" t="s">
        <v>2211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749</v>
      </c>
      <c r="E80" s="1">
        <v>2021</v>
      </c>
      <c r="F80" t="s">
        <v>186</v>
      </c>
      <c r="J80" s="1" t="s">
        <v>1801</v>
      </c>
      <c r="K80" s="10">
        <v>688.30000000000018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379" t="s">
        <v>2014</v>
      </c>
      <c r="E81" s="1">
        <v>2021</v>
      </c>
      <c r="F81" t="s">
        <v>186</v>
      </c>
      <c r="J81" s="1" t="s">
        <v>1802</v>
      </c>
      <c r="K81" s="10">
        <v>686.30000000000007</v>
      </c>
      <c r="L81" s="116"/>
      <c r="M81" s="18" t="s">
        <v>914</v>
      </c>
      <c r="N81" s="379" t="s">
        <v>2014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237" t="s">
        <v>2027</v>
      </c>
      <c r="E82" s="1">
        <v>2023</v>
      </c>
      <c r="F82" t="s">
        <v>192</v>
      </c>
      <c r="J82" s="1" t="s">
        <v>883</v>
      </c>
      <c r="K82" s="10">
        <v>685.3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35" t="s">
        <v>153</v>
      </c>
      <c r="E83" s="1">
        <v>2020</v>
      </c>
      <c r="F83" t="s">
        <v>196</v>
      </c>
      <c r="J83" s="1" t="s">
        <v>882</v>
      </c>
      <c r="K83" s="10">
        <v>685.19999999999891</v>
      </c>
      <c r="L83" s="116"/>
      <c r="M83" s="18" t="s">
        <v>916</v>
      </c>
      <c r="N83" s="35" t="s">
        <v>1643</v>
      </c>
      <c r="Q83" s="1">
        <v>2023</v>
      </c>
      <c r="R83" t="s">
        <v>2211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51" t="s">
        <v>15</v>
      </c>
      <c r="E84" s="1">
        <v>2017</v>
      </c>
      <c r="F84" t="s">
        <v>188</v>
      </c>
      <c r="J84" s="1" t="s">
        <v>815</v>
      </c>
      <c r="K84" s="10">
        <v>684.2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51" t="s">
        <v>31</v>
      </c>
      <c r="E85" s="1">
        <v>2016</v>
      </c>
      <c r="F85" t="s">
        <v>192</v>
      </c>
      <c r="J85" s="1" t="s">
        <v>814</v>
      </c>
      <c r="K85" s="10">
        <v>683.3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4520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51" t="s">
        <v>9</v>
      </c>
      <c r="E86" s="1">
        <v>2019</v>
      </c>
      <c r="F86" t="s">
        <v>188</v>
      </c>
      <c r="J86" s="1" t="s">
        <v>880</v>
      </c>
      <c r="K86" s="10">
        <v>682.5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2015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31</v>
      </c>
      <c r="E87" s="1">
        <v>2019</v>
      </c>
      <c r="F87" t="s">
        <v>188</v>
      </c>
      <c r="J87" s="1" t="s">
        <v>881</v>
      </c>
      <c r="K87" s="10">
        <v>682.15</v>
      </c>
      <c r="L87" s="116"/>
      <c r="M87" s="18" t="s">
        <v>920</v>
      </c>
      <c r="N87" s="220" t="s">
        <v>1655</v>
      </c>
      <c r="Q87" s="1">
        <v>2023</v>
      </c>
      <c r="R87" t="s">
        <v>2211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379" t="s">
        <v>1661</v>
      </c>
      <c r="E88" s="1">
        <v>2021</v>
      </c>
      <c r="F88" t="s">
        <v>194</v>
      </c>
      <c r="J88" s="1" t="s">
        <v>814</v>
      </c>
      <c r="K88" s="10">
        <v>680.3</v>
      </c>
      <c r="L88" s="116"/>
      <c r="M88" s="18" t="s">
        <v>921</v>
      </c>
      <c r="N88" s="51" t="s">
        <v>2014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738</v>
      </c>
      <c r="E89" s="1">
        <v>2019</v>
      </c>
      <c r="F89" t="s">
        <v>188</v>
      </c>
      <c r="J89" s="1" t="s">
        <v>882</v>
      </c>
      <c r="K89" s="10">
        <v>679.55</v>
      </c>
      <c r="L89" s="116"/>
      <c r="M89" s="18" t="s">
        <v>922</v>
      </c>
      <c r="N89" s="51" t="s">
        <v>738</v>
      </c>
      <c r="Q89" s="1">
        <v>2019</v>
      </c>
      <c r="R89" t="s">
        <v>2211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379" t="s">
        <v>2013</v>
      </c>
      <c r="E90" s="1">
        <v>2021</v>
      </c>
      <c r="F90" t="s">
        <v>186</v>
      </c>
      <c r="J90" s="1" t="s">
        <v>1803</v>
      </c>
      <c r="K90" s="10">
        <v>679.2999999999995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237" t="s">
        <v>37</v>
      </c>
      <c r="E91" s="1">
        <v>2022</v>
      </c>
      <c r="F91" t="s">
        <v>2877</v>
      </c>
      <c r="J91" s="1" t="s">
        <v>814</v>
      </c>
      <c r="K91" s="10">
        <v>679.15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220" t="s">
        <v>1656</v>
      </c>
      <c r="E92" s="1">
        <v>2023</v>
      </c>
      <c r="F92" t="s">
        <v>188</v>
      </c>
      <c r="J92" s="1" t="s">
        <v>939</v>
      </c>
      <c r="K92" s="10">
        <v>677.09999999999945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5" t="s">
        <v>755</v>
      </c>
      <c r="E93" s="1">
        <v>2021</v>
      </c>
      <c r="F93" t="s">
        <v>186</v>
      </c>
      <c r="J93" s="1" t="s">
        <v>1804</v>
      </c>
      <c r="K93" s="10">
        <v>674.90000000000032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51" t="s">
        <v>13</v>
      </c>
      <c r="E94" s="1">
        <v>2021</v>
      </c>
      <c r="F94" t="s">
        <v>196</v>
      </c>
      <c r="J94" s="1" t="s">
        <v>815</v>
      </c>
      <c r="K94" s="10">
        <v>673.9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35" t="s">
        <v>757</v>
      </c>
      <c r="E95" s="1">
        <v>2023</v>
      </c>
      <c r="F95" t="s">
        <v>188</v>
      </c>
      <c r="J95" s="1" t="s">
        <v>940</v>
      </c>
      <c r="K95" s="10">
        <v>673.50000000000091</v>
      </c>
      <c r="L95" s="116"/>
      <c r="M95" s="18" t="s">
        <v>928</v>
      </c>
      <c r="N95" s="379" t="s">
        <v>1662</v>
      </c>
      <c r="Q95" s="1">
        <v>2023</v>
      </c>
      <c r="R95" t="s">
        <v>2211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3383</v>
      </c>
      <c r="E96" s="1">
        <v>2023</v>
      </c>
      <c r="F96" t="s">
        <v>188</v>
      </c>
      <c r="J96" s="1" t="s">
        <v>942</v>
      </c>
      <c r="K96" s="10">
        <v>673.39999999999964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144</v>
      </c>
      <c r="E97" s="1">
        <v>2021</v>
      </c>
      <c r="F97" t="s">
        <v>188</v>
      </c>
      <c r="J97" s="1" t="s">
        <v>816</v>
      </c>
      <c r="K97" s="10">
        <v>673.1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51" t="s">
        <v>143</v>
      </c>
      <c r="E98" s="1">
        <v>2021</v>
      </c>
      <c r="F98" t="s">
        <v>213</v>
      </c>
      <c r="J98" s="1" t="s">
        <v>880</v>
      </c>
      <c r="K98" s="10">
        <v>673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51" t="s">
        <v>31</v>
      </c>
      <c r="E99" s="1">
        <v>2021</v>
      </c>
      <c r="F99" t="s">
        <v>194</v>
      </c>
      <c r="J99" s="1" t="s">
        <v>815</v>
      </c>
      <c r="K99" s="10">
        <v>672.9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763</v>
      </c>
      <c r="E100" s="1">
        <v>2019</v>
      </c>
      <c r="F100" t="s">
        <v>213</v>
      </c>
      <c r="J100" s="1" t="s">
        <v>815</v>
      </c>
      <c r="K100" s="10">
        <v>672.6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379" t="s">
        <v>2012</v>
      </c>
      <c r="E101" s="1">
        <v>2021</v>
      </c>
      <c r="F101" t="s">
        <v>186</v>
      </c>
      <c r="J101" s="1" t="s">
        <v>1805</v>
      </c>
      <c r="K101" s="10">
        <v>672.59999999999945</v>
      </c>
      <c r="L101" s="116"/>
      <c r="M101" s="18" t="s">
        <v>934</v>
      </c>
      <c r="N101" s="51" t="s">
        <v>141</v>
      </c>
      <c r="Q101" s="1">
        <v>2023</v>
      </c>
      <c r="R101" t="s">
        <v>2211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220" t="s">
        <v>1655</v>
      </c>
      <c r="E102" s="1">
        <v>2021</v>
      </c>
      <c r="F102" t="s">
        <v>186</v>
      </c>
      <c r="J102" s="1" t="s">
        <v>1806</v>
      </c>
      <c r="K102" s="10">
        <v>672.49999999999955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2011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2011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3385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3393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3391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3391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2034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3373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3374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2012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2010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2031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4952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3380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3391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3389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2027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2212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3383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2211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3536</v>
      </c>
    </row>
    <row r="248" spans="1:7">
      <c r="A248" s="18" t="s">
        <v>0</v>
      </c>
      <c r="B248" s="51" t="s">
        <v>3391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2027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3378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2029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3389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3375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3391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2034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2057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3407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2011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3405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3391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3389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3407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2022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3382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2027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2012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2006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2033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2014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2011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27</v>
      </c>
      <c r="E318" s="1">
        <v>2022</v>
      </c>
      <c r="F318" s="1" t="s">
        <v>814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814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814</v>
      </c>
      <c r="G320" s="10">
        <v>587.70000000000005</v>
      </c>
    </row>
    <row r="321" spans="1:18">
      <c r="A321" s="18" t="s">
        <v>5</v>
      </c>
      <c r="B321" s="51" t="s">
        <v>2011</v>
      </c>
      <c r="E321" s="1">
        <v>2022</v>
      </c>
      <c r="F321" s="1" t="s">
        <v>815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815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814</v>
      </c>
      <c r="G323" s="10">
        <v>533.75</v>
      </c>
    </row>
    <row r="324" spans="1:18">
      <c r="A324" s="18" t="s">
        <v>10</v>
      </c>
      <c r="B324" s="51" t="s">
        <v>788</v>
      </c>
      <c r="E324" s="1">
        <v>2022</v>
      </c>
      <c r="F324" s="1" t="s">
        <v>816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816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880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815</v>
      </c>
      <c r="G327" s="10">
        <v>492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769</v>
      </c>
      <c r="E337" s="1">
        <v>2019</v>
      </c>
      <c r="F337" s="1" t="s">
        <v>814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1662</v>
      </c>
      <c r="E338" s="1">
        <v>2021</v>
      </c>
      <c r="F338" s="1" t="s">
        <v>881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814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738</v>
      </c>
      <c r="E340" s="1">
        <v>2021</v>
      </c>
      <c r="F340" s="1" t="s">
        <v>882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788</v>
      </c>
      <c r="E341" s="1">
        <v>2021</v>
      </c>
      <c r="F341" s="1" t="s">
        <v>883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1647</v>
      </c>
      <c r="E348" s="1">
        <v>2021</v>
      </c>
      <c r="F348" s="1" t="s">
        <v>816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749</v>
      </c>
      <c r="E349" s="1">
        <v>2021</v>
      </c>
      <c r="F349" s="1" t="s">
        <v>880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881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796</v>
      </c>
      <c r="E351" s="1">
        <v>2021</v>
      </c>
      <c r="F351" s="1" t="s">
        <v>882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1661</v>
      </c>
      <c r="E352" s="1">
        <v>2021</v>
      </c>
      <c r="F352" s="1" t="s">
        <v>883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779</v>
      </c>
      <c r="E353" s="1">
        <v>2021</v>
      </c>
      <c r="F353" s="1" t="s">
        <v>884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814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757</v>
      </c>
      <c r="E355" s="1">
        <v>2021</v>
      </c>
      <c r="F355" s="1" t="s">
        <v>885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816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814</v>
      </c>
      <c r="G377" s="10">
        <v>873</v>
      </c>
    </row>
    <row r="378" spans="1:18">
      <c r="A378" s="18" t="s">
        <v>7</v>
      </c>
      <c r="B378" s="51" t="s">
        <v>889</v>
      </c>
      <c r="E378" s="1">
        <v>2018</v>
      </c>
      <c r="F378" s="1" t="s">
        <v>880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814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881</v>
      </c>
      <c r="G380" s="10">
        <v>809.65</v>
      </c>
    </row>
    <row r="381" spans="1:18">
      <c r="A381" s="18" t="s">
        <v>12</v>
      </c>
      <c r="B381" s="51" t="s">
        <v>764</v>
      </c>
      <c r="E381" s="1">
        <v>2022</v>
      </c>
      <c r="F381" s="1" t="s">
        <v>815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882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883</v>
      </c>
      <c r="G383" s="10">
        <v>748.3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2029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2012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2777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2878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2877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2054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2879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3143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2011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2011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2031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2500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2530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2502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2012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2011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:K102">
    <sortCondition descending="1" ref="K3:K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2014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2888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2894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2898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2904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2910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2932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2943</v>
      </c>
      <c r="N8" s="60" t="s">
        <v>2012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2948</v>
      </c>
      <c r="N9" s="60" t="s">
        <v>2010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2983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2987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2992</v>
      </c>
      <c r="N12" s="60" t="s">
        <v>2027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3006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3008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3013</v>
      </c>
      <c r="N15" s="60" t="s">
        <v>2031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3045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3061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3141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3192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3206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3394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3402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2893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2903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2905</v>
      </c>
      <c r="K26" s="21"/>
      <c r="L26" s="231"/>
      <c r="M26" s="26"/>
      <c r="N26" s="3" t="s">
        <v>3388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2935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2970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2990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3018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3029</v>
      </c>
      <c r="K31" s="21"/>
      <c r="L31" s="231"/>
      <c r="M31" s="26"/>
      <c r="N31" s="3" t="s">
        <v>3406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3033</v>
      </c>
      <c r="K32" s="21"/>
      <c r="L32" s="231"/>
      <c r="M32" s="26"/>
      <c r="N32" s="60" t="s">
        <v>2029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3049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3056</v>
      </c>
      <c r="K34" s="21"/>
      <c r="L34" s="231"/>
      <c r="M34" s="26"/>
      <c r="N34" s="3" t="s">
        <v>3375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3085</v>
      </c>
      <c r="K35" s="21"/>
      <c r="L35" s="231"/>
      <c r="M35" s="26"/>
      <c r="N35" s="3" t="s">
        <v>3393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3385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2916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2933</v>
      </c>
      <c r="K40" s="21"/>
      <c r="L40" s="231"/>
      <c r="M40" s="26"/>
      <c r="N40" s="60" t="s">
        <v>2006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2945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2947</v>
      </c>
      <c r="K42" s="21"/>
      <c r="L42" s="231"/>
      <c r="M42" s="26"/>
      <c r="N42" s="3" t="s">
        <v>3403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2964</v>
      </c>
      <c r="K43" s="21"/>
      <c r="L43" s="231"/>
      <c r="M43" s="26"/>
      <c r="N43" s="60" t="s">
        <v>2034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2975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2985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2998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3083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2007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2920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2941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2947</v>
      </c>
      <c r="K53" s="21"/>
      <c r="L53" s="231"/>
      <c r="M53" s="26"/>
      <c r="N53" s="60" t="s">
        <v>2030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2948</v>
      </c>
      <c r="K54" s="21"/>
      <c r="L54" s="231"/>
      <c r="M54" s="26"/>
      <c r="N54" s="60" t="s">
        <v>4520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2966</v>
      </c>
      <c r="K55" s="21"/>
      <c r="L55" s="231"/>
      <c r="M55" s="26"/>
      <c r="N55" s="3" t="s">
        <v>3383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3043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3051</v>
      </c>
      <c r="K57" s="21"/>
      <c r="L57" s="231"/>
      <c r="M57" s="26"/>
      <c r="N57" s="60" t="s">
        <v>2022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3382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2922</v>
      </c>
      <c r="K61" s="25"/>
      <c r="L61" s="26"/>
      <c r="M61" s="21"/>
      <c r="N61" s="60" t="s">
        <v>2057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2939</v>
      </c>
      <c r="K62" s="25"/>
      <c r="L62" s="26"/>
      <c r="M62" s="21"/>
      <c r="N62" s="60" t="s">
        <v>2015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2965</v>
      </c>
      <c r="K63" s="25"/>
      <c r="L63" s="26"/>
      <c r="M63" s="21"/>
      <c r="N63" s="3" t="s">
        <v>3407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3062</v>
      </c>
      <c r="K64" s="25"/>
      <c r="L64" s="26"/>
      <c r="M64" s="21"/>
      <c r="N64" s="60" t="s">
        <v>2014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3193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3194</v>
      </c>
      <c r="K66" s="25"/>
      <c r="L66" s="26"/>
      <c r="M66" s="21"/>
      <c r="N66" s="60" t="s">
        <v>3373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3390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3380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2906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2932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2969</v>
      </c>
      <c r="K72" s="21"/>
      <c r="L72" s="231"/>
      <c r="M72" s="21"/>
      <c r="N72" s="60" t="s">
        <v>2028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3007</v>
      </c>
      <c r="K73" s="21"/>
      <c r="L73" s="231"/>
      <c r="M73" s="21"/>
      <c r="N73" s="3" t="s">
        <v>3378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3026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3040</v>
      </c>
      <c r="K75" s="21"/>
      <c r="L75" s="231"/>
      <c r="M75" s="21"/>
      <c r="N75" s="3" t="s">
        <v>3405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3105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3130</v>
      </c>
      <c r="K77" s="21"/>
      <c r="L77" s="231"/>
      <c r="M77" s="21"/>
      <c r="N77" s="3" t="s">
        <v>3387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3135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3179</v>
      </c>
      <c r="K79" s="21"/>
      <c r="L79" s="231"/>
      <c r="M79" s="21"/>
      <c r="N79" s="60" t="s">
        <v>2011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3181</v>
      </c>
      <c r="K80" s="21"/>
      <c r="L80" s="231"/>
      <c r="M80" s="21"/>
      <c r="N80" s="3" t="s">
        <v>3384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3182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3184</v>
      </c>
      <c r="K82" s="21"/>
      <c r="L82" s="231"/>
      <c r="M82" s="21"/>
      <c r="N82" s="3" t="s">
        <v>3379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3186</v>
      </c>
      <c r="K83" s="21"/>
      <c r="L83" s="231"/>
      <c r="M83" s="21"/>
      <c r="N83" s="3" t="s">
        <v>3381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3187</v>
      </c>
      <c r="K84" s="21"/>
      <c r="L84" s="231"/>
      <c r="M84" s="21"/>
      <c r="N84" s="3" t="s">
        <v>3377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3188</v>
      </c>
      <c r="K85" s="21"/>
      <c r="L85" s="231"/>
      <c r="M85" s="21"/>
      <c r="N85" s="60" t="s">
        <v>2161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3189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3190</v>
      </c>
      <c r="K87" s="21"/>
      <c r="L87" s="231"/>
      <c r="M87" s="21"/>
      <c r="N87" s="3" t="s">
        <v>3376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3191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3192</v>
      </c>
      <c r="K89" s="21"/>
      <c r="L89" s="231"/>
      <c r="M89" s="21"/>
      <c r="N89" s="60" t="s">
        <v>2007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3193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3194</v>
      </c>
      <c r="K91" s="21"/>
      <c r="L91" s="231"/>
      <c r="M91" s="21"/>
      <c r="N91" s="3" t="s">
        <v>3389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3195</v>
      </c>
      <c r="K92" s="21"/>
      <c r="L92" s="231"/>
      <c r="M92" s="21"/>
      <c r="N92" s="3" t="s">
        <v>3386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3197</v>
      </c>
      <c r="K93" s="21"/>
      <c r="L93" s="231"/>
      <c r="M93" s="21"/>
      <c r="N93" s="60" t="s">
        <v>2056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3198</v>
      </c>
      <c r="K94" s="21"/>
      <c r="L94" s="231"/>
      <c r="M94" s="21"/>
      <c r="N94" s="60" t="s">
        <v>3374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3212</v>
      </c>
      <c r="K95" s="21"/>
      <c r="L95" s="231"/>
      <c r="M95" s="21"/>
      <c r="N95" s="60" t="s">
        <v>2054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3213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3391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3215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2911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2934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2936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2967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2984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3006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3010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3024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2013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2953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3126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2027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2889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2893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2923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2937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3002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3018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3070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3104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3176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2888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2924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2963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3009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3014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3016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3020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3030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3031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3033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3034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3068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3073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3077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3079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3205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3220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2934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2936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2974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2975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2978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2979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2993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3037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3067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3134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2057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2918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2942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3056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3106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2888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2911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2913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2929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2938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2951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2962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3001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3014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3062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3065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3097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3149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3182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2010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2931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3005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3015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3016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3017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3212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3214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2895</v>
      </c>
      <c r="L197" s="25"/>
      <c r="N197" s="25"/>
    </row>
    <row r="198" spans="1:14" s="39" customFormat="1" ht="15.75">
      <c r="A198" s="121" t="s">
        <v>814</v>
      </c>
      <c r="B198" s="39" t="s">
        <v>2941</v>
      </c>
      <c r="L198" s="25"/>
      <c r="N198" s="25"/>
    </row>
    <row r="199" spans="1:14" s="39" customFormat="1" ht="15.75">
      <c r="A199" s="121" t="s">
        <v>815</v>
      </c>
      <c r="B199" s="39" t="s">
        <v>2946</v>
      </c>
      <c r="L199" s="25"/>
      <c r="N199" s="25"/>
    </row>
    <row r="200" spans="1:14" s="39" customFormat="1" ht="15.75">
      <c r="A200" s="121" t="s">
        <v>816</v>
      </c>
      <c r="B200" s="39" t="s">
        <v>2958</v>
      </c>
      <c r="L200" s="25"/>
      <c r="N200" s="25"/>
    </row>
    <row r="201" spans="1:14" s="39" customFormat="1" ht="15.75">
      <c r="A201" s="121" t="s">
        <v>814</v>
      </c>
      <c r="B201" s="39" t="s">
        <v>3048</v>
      </c>
      <c r="L201" s="25"/>
      <c r="N201" s="25"/>
    </row>
    <row r="202" spans="1:14" s="39" customFormat="1" ht="15.75">
      <c r="A202" s="121" t="s">
        <v>816</v>
      </c>
      <c r="B202" s="39" t="s">
        <v>3052</v>
      </c>
      <c r="L202" s="25"/>
      <c r="N202" s="25"/>
    </row>
    <row r="203" spans="1:14" s="39" customFormat="1" ht="15.75">
      <c r="A203" s="121" t="s">
        <v>814</v>
      </c>
      <c r="B203" s="39" t="s">
        <v>3069</v>
      </c>
      <c r="L203" s="25"/>
      <c r="N203" s="25"/>
    </row>
    <row r="204" spans="1:14" s="39" customFormat="1" ht="15.75">
      <c r="A204" s="121" t="s">
        <v>815</v>
      </c>
      <c r="B204" s="39" t="s">
        <v>3071</v>
      </c>
      <c r="L204" s="25"/>
      <c r="N204" s="25"/>
    </row>
    <row r="205" spans="1:14" s="39" customFormat="1" ht="15.75">
      <c r="A205" s="121" t="s">
        <v>815</v>
      </c>
      <c r="B205" s="39" t="s">
        <v>3099</v>
      </c>
      <c r="L205" s="25"/>
      <c r="N205" s="25"/>
    </row>
    <row r="206" spans="1:14" s="39" customFormat="1" ht="15.75">
      <c r="A206" s="121" t="s">
        <v>815</v>
      </c>
      <c r="B206" s="39" t="s">
        <v>3107</v>
      </c>
      <c r="L206" s="25"/>
      <c r="N206" s="25"/>
    </row>
    <row r="207" spans="1:14" s="39" customFormat="1" ht="15.75">
      <c r="A207" s="121" t="s">
        <v>816</v>
      </c>
      <c r="B207" s="39" t="s">
        <v>3177</v>
      </c>
      <c r="L207" s="25"/>
      <c r="N207" s="25"/>
    </row>
    <row r="208" spans="1:14" s="39" customFormat="1" ht="15.75">
      <c r="A208" s="121" t="s">
        <v>815</v>
      </c>
      <c r="B208" s="39" t="s">
        <v>3205</v>
      </c>
      <c r="L208" s="25"/>
      <c r="N208" s="25"/>
    </row>
    <row r="209" spans="1:14" s="39" customFormat="1" ht="15.75">
      <c r="A209" s="121" t="s">
        <v>815</v>
      </c>
      <c r="B209" s="39" t="s">
        <v>3207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3219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2028</v>
      </c>
      <c r="L214" s="25"/>
      <c r="N214" s="25"/>
    </row>
    <row r="215" spans="1:14" s="39" customFormat="1" ht="15.75">
      <c r="A215" s="121" t="s">
        <v>814</v>
      </c>
      <c r="B215" s="39" t="s">
        <v>2905</v>
      </c>
      <c r="L215" s="25"/>
      <c r="N215" s="25"/>
    </row>
    <row r="216" spans="1:14" s="39" customFormat="1" ht="15.75">
      <c r="A216" s="121" t="s">
        <v>816</v>
      </c>
      <c r="B216" s="39" t="s">
        <v>2940</v>
      </c>
      <c r="L216" s="25"/>
      <c r="N216" s="25"/>
    </row>
    <row r="217" spans="1:14" s="39" customFormat="1" ht="15.75">
      <c r="A217" s="121" t="s">
        <v>814</v>
      </c>
      <c r="B217" s="39" t="s">
        <v>2946</v>
      </c>
      <c r="L217" s="25"/>
      <c r="N217" s="25"/>
    </row>
    <row r="218" spans="1:14" s="39" customFormat="1" ht="15.75">
      <c r="A218" s="121" t="s">
        <v>815</v>
      </c>
      <c r="B218" s="39" t="s">
        <v>2955</v>
      </c>
      <c r="L218" s="25"/>
      <c r="N218" s="25"/>
    </row>
    <row r="219" spans="1:14" s="39" customFormat="1" ht="15.75">
      <c r="A219" s="121" t="s">
        <v>814</v>
      </c>
      <c r="B219" s="39" t="s">
        <v>3088</v>
      </c>
      <c r="L219" s="25"/>
      <c r="N219" s="25"/>
    </row>
    <row r="220" spans="1:14" s="39" customFormat="1" ht="15.75">
      <c r="A220" s="121" t="s">
        <v>814</v>
      </c>
      <c r="B220" s="39" t="s">
        <v>3097</v>
      </c>
      <c r="L220" s="25"/>
      <c r="N220" s="25"/>
    </row>
    <row r="221" spans="1:14" s="39" customFormat="1" ht="15.75">
      <c r="A221" s="121" t="s">
        <v>816</v>
      </c>
      <c r="B221" s="39" t="s">
        <v>3128</v>
      </c>
      <c r="L221" s="25"/>
      <c r="N221" s="25"/>
    </row>
    <row r="222" spans="1:14" s="39" customFormat="1" ht="15.75">
      <c r="A222" s="121" t="s">
        <v>814</v>
      </c>
      <c r="B222" s="39" t="s">
        <v>3217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2902</v>
      </c>
      <c r="L226" s="26"/>
      <c r="N226" s="26"/>
    </row>
    <row r="227" spans="1:14" s="39" customFormat="1" ht="15.75">
      <c r="A227" s="121" t="s">
        <v>815</v>
      </c>
      <c r="B227" s="39" t="s">
        <v>2914</v>
      </c>
      <c r="L227" s="26"/>
      <c r="N227" s="26"/>
    </row>
    <row r="228" spans="1:14" s="39" customFormat="1" ht="15.75">
      <c r="A228" s="121" t="s">
        <v>816</v>
      </c>
      <c r="B228" s="39" t="s">
        <v>2926</v>
      </c>
      <c r="L228" s="26"/>
      <c r="N228" s="26"/>
    </row>
    <row r="229" spans="1:14" s="39" customFormat="1" ht="15.75">
      <c r="A229" s="121" t="s">
        <v>815</v>
      </c>
      <c r="B229" s="39" t="s">
        <v>2963</v>
      </c>
      <c r="L229" s="26"/>
      <c r="N229" s="26"/>
    </row>
    <row r="230" spans="1:14" s="39" customFormat="1" ht="15.75">
      <c r="A230" s="121" t="s">
        <v>815</v>
      </c>
      <c r="B230" s="39" t="s">
        <v>3050</v>
      </c>
      <c r="L230" s="26"/>
      <c r="N230" s="26"/>
    </row>
    <row r="231" spans="1:14" s="39" customFormat="1" ht="15.75">
      <c r="A231" s="121" t="s">
        <v>816</v>
      </c>
      <c r="B231" s="39" t="s">
        <v>3053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2022</v>
      </c>
      <c r="L234" s="26"/>
      <c r="N234" s="26"/>
    </row>
    <row r="235" spans="1:14" s="39" customFormat="1" ht="15.75">
      <c r="A235" s="121" t="s">
        <v>816</v>
      </c>
      <c r="B235" s="39" t="s">
        <v>2892</v>
      </c>
      <c r="L235" s="26"/>
      <c r="N235" s="26"/>
    </row>
    <row r="236" spans="1:14" s="39" customFormat="1" ht="15.75">
      <c r="A236" s="121" t="s">
        <v>814</v>
      </c>
      <c r="B236" s="39" t="s">
        <v>2903</v>
      </c>
      <c r="L236" s="26"/>
      <c r="N236" s="26"/>
    </row>
    <row r="237" spans="1:14" s="39" customFormat="1" ht="15.75">
      <c r="A237" s="121" t="s">
        <v>815</v>
      </c>
      <c r="B237" s="39" t="s">
        <v>2960</v>
      </c>
      <c r="L237" s="26"/>
      <c r="N237" s="26"/>
    </row>
    <row r="238" spans="1:14" s="39" customFormat="1" ht="15.75">
      <c r="A238" s="121" t="s">
        <v>816</v>
      </c>
      <c r="B238" s="39" t="s">
        <v>2981</v>
      </c>
      <c r="L238" s="26"/>
      <c r="N238" s="26"/>
    </row>
    <row r="239" spans="1:14" s="39" customFormat="1" ht="15.75">
      <c r="A239" s="121" t="s">
        <v>815</v>
      </c>
      <c r="B239" s="39" t="s">
        <v>3045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2885</v>
      </c>
      <c r="L243" s="25"/>
    </row>
    <row r="244" spans="1:14" s="39" customFormat="1" ht="15.75">
      <c r="A244" s="121" t="s">
        <v>816</v>
      </c>
      <c r="B244" s="39" t="s">
        <v>2928</v>
      </c>
      <c r="L244" s="25"/>
    </row>
    <row r="245" spans="1:14" s="39" customFormat="1" ht="15.75">
      <c r="A245" s="121" t="s">
        <v>816</v>
      </c>
      <c r="B245" s="39" t="s">
        <v>3067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2029</v>
      </c>
      <c r="L248" s="25"/>
    </row>
    <row r="249" spans="1:14" s="39" customFormat="1" ht="15.75">
      <c r="A249" s="121" t="s">
        <v>814</v>
      </c>
      <c r="B249" s="39" t="s">
        <v>2958</v>
      </c>
      <c r="L249" s="25"/>
    </row>
    <row r="250" spans="1:14" s="39" customFormat="1" ht="15.75">
      <c r="A250" s="121" t="s">
        <v>814</v>
      </c>
      <c r="B250" s="39" t="s">
        <v>3004</v>
      </c>
      <c r="L250" s="25"/>
    </row>
    <row r="251" spans="1:14" s="39" customFormat="1" ht="15.75">
      <c r="A251" s="121" t="s">
        <v>816</v>
      </c>
      <c r="B251" s="39" t="s">
        <v>3073</v>
      </c>
      <c r="L251" s="25"/>
    </row>
    <row r="252" spans="1:14" s="39" customFormat="1" ht="15.75">
      <c r="A252" s="121" t="s">
        <v>816</v>
      </c>
      <c r="B252" s="39" t="s">
        <v>3078</v>
      </c>
      <c r="L252" s="25"/>
    </row>
    <row r="253" spans="1:14" s="39" customFormat="1" ht="15.75">
      <c r="A253" s="121" t="s">
        <v>815</v>
      </c>
      <c r="B253" s="39" t="s">
        <v>3128</v>
      </c>
      <c r="L253" s="25"/>
    </row>
    <row r="254" spans="1:14" s="39" customFormat="1" ht="15.75">
      <c r="A254" s="121" t="s">
        <v>815</v>
      </c>
      <c r="B254" s="39" t="s">
        <v>3180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2891</v>
      </c>
      <c r="L258" s="26"/>
      <c r="M258" s="198"/>
    </row>
    <row r="259" spans="1:13" s="39" customFormat="1" ht="15.75">
      <c r="A259" s="121" t="s">
        <v>815</v>
      </c>
      <c r="B259" s="39" t="s">
        <v>2897</v>
      </c>
      <c r="L259" s="26"/>
      <c r="M259" s="198"/>
    </row>
    <row r="260" spans="1:13" s="39" customFormat="1" ht="15.75">
      <c r="A260" s="121" t="s">
        <v>814</v>
      </c>
      <c r="B260" s="39" t="s">
        <v>2899</v>
      </c>
      <c r="L260" s="26"/>
      <c r="M260" s="198"/>
    </row>
    <row r="261" spans="1:13" s="39" customFormat="1" ht="15.75">
      <c r="A261" s="121" t="s">
        <v>816</v>
      </c>
      <c r="B261" s="39" t="s">
        <v>2910</v>
      </c>
      <c r="L261" s="26"/>
      <c r="M261" s="198"/>
    </row>
    <row r="262" spans="1:13" s="39" customFormat="1" ht="15.75">
      <c r="A262" s="121" t="s">
        <v>815</v>
      </c>
      <c r="B262" s="39" t="s">
        <v>3004</v>
      </c>
      <c r="L262" s="26"/>
      <c r="M262" s="198"/>
    </row>
    <row r="263" spans="1:13" s="39" customFormat="1" ht="15.75">
      <c r="A263" s="121" t="s">
        <v>814</v>
      </c>
      <c r="B263" s="39" t="s">
        <v>3009</v>
      </c>
      <c r="L263" s="26"/>
      <c r="M263" s="198"/>
    </row>
    <row r="264" spans="1:13" s="39" customFormat="1" ht="15.75">
      <c r="A264" s="121" t="s">
        <v>814</v>
      </c>
      <c r="B264" s="39" t="s">
        <v>3118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2925</v>
      </c>
      <c r="L268" s="21"/>
    </row>
    <row r="269" spans="1:13" s="39" customFormat="1" ht="15.75">
      <c r="A269" s="121" t="s">
        <v>815</v>
      </c>
      <c r="B269" s="39" t="s">
        <v>2966</v>
      </c>
      <c r="L269" s="21"/>
    </row>
    <row r="270" spans="1:13" s="39" customFormat="1" ht="15.75">
      <c r="A270" s="121" t="s">
        <v>814</v>
      </c>
      <c r="B270" s="39" t="s">
        <v>3064</v>
      </c>
      <c r="L270" s="21"/>
    </row>
    <row r="271" spans="1:13" s="39" customFormat="1" ht="15.75">
      <c r="A271" s="121" t="s">
        <v>816</v>
      </c>
      <c r="B271" s="39" t="s">
        <v>3100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2015</v>
      </c>
      <c r="L274" s="21"/>
    </row>
    <row r="275" spans="1:12" s="39" customFormat="1" ht="15.75">
      <c r="A275" s="121" t="s">
        <v>814</v>
      </c>
      <c r="B275" s="39" t="s">
        <v>2944</v>
      </c>
      <c r="L275" s="21"/>
    </row>
    <row r="276" spans="1:12" s="39" customFormat="1" ht="15.75">
      <c r="A276" s="121" t="s">
        <v>815</v>
      </c>
      <c r="B276" s="39" t="s">
        <v>2950</v>
      </c>
      <c r="L276" s="21"/>
    </row>
    <row r="277" spans="1:12" s="39" customFormat="1" ht="15.75">
      <c r="A277" s="121" t="s">
        <v>814</v>
      </c>
      <c r="B277" s="39" t="s">
        <v>2959</v>
      </c>
      <c r="L277" s="21"/>
    </row>
    <row r="278" spans="1:12" s="39" customFormat="1" ht="15.75">
      <c r="A278" s="121" t="s">
        <v>815</v>
      </c>
      <c r="B278" s="39" t="s">
        <v>2962</v>
      </c>
      <c r="L278" s="21"/>
    </row>
    <row r="279" spans="1:12" s="39" customFormat="1" ht="15.75">
      <c r="A279" s="121" t="s">
        <v>816</v>
      </c>
      <c r="B279" s="39" t="s">
        <v>2966</v>
      </c>
      <c r="L279" s="21"/>
    </row>
    <row r="280" spans="1:12" s="39" customFormat="1" ht="15.75">
      <c r="A280" s="121" t="s">
        <v>814</v>
      </c>
      <c r="B280" s="39" t="s">
        <v>2969</v>
      </c>
      <c r="L280" s="21"/>
    </row>
    <row r="281" spans="1:12" s="39" customFormat="1" ht="15.75">
      <c r="A281" s="121" t="s">
        <v>815</v>
      </c>
      <c r="B281" s="39" t="s">
        <v>3010</v>
      </c>
      <c r="L281" s="21"/>
    </row>
    <row r="282" spans="1:12" s="39" customFormat="1" ht="15.75">
      <c r="A282" s="121" t="s">
        <v>816</v>
      </c>
      <c r="B282" s="39" t="s">
        <v>3019</v>
      </c>
      <c r="L282" s="21"/>
    </row>
    <row r="283" spans="1:12" s="39" customFormat="1" ht="15.75">
      <c r="A283" s="121" t="s">
        <v>814</v>
      </c>
      <c r="B283" s="39" t="s">
        <v>3039</v>
      </c>
      <c r="L283" s="21"/>
    </row>
    <row r="284" spans="1:12" s="39" customFormat="1" ht="15.75">
      <c r="A284" s="121" t="s">
        <v>816</v>
      </c>
      <c r="B284" s="39" t="s">
        <v>3048</v>
      </c>
      <c r="L284" s="21"/>
    </row>
    <row r="285" spans="1:12" s="39" customFormat="1" ht="15.75">
      <c r="A285" s="121" t="s">
        <v>814</v>
      </c>
      <c r="B285" s="39" t="s">
        <v>3066</v>
      </c>
      <c r="L285" s="21"/>
    </row>
    <row r="286" spans="1:12" s="39" customFormat="1" ht="15.75">
      <c r="A286" s="121" t="s">
        <v>816</v>
      </c>
      <c r="B286" s="39" t="s">
        <v>3071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2885</v>
      </c>
    </row>
    <row r="291" spans="1:2" s="39" customFormat="1" ht="15.75">
      <c r="A291" s="121" t="s">
        <v>815</v>
      </c>
      <c r="B291" s="39" t="s">
        <v>2926</v>
      </c>
    </row>
    <row r="292" spans="1:2" s="39" customFormat="1" ht="15.75">
      <c r="A292" s="121" t="s">
        <v>815</v>
      </c>
      <c r="B292" s="39" t="s">
        <v>2973</v>
      </c>
    </row>
    <row r="293" spans="1:2" s="39" customFormat="1" ht="15.75">
      <c r="A293" s="121" t="s">
        <v>816</v>
      </c>
      <c r="B293" s="39" t="s">
        <v>2980</v>
      </c>
    </row>
    <row r="294" spans="1:2" s="39" customFormat="1" ht="15.75">
      <c r="A294" s="121" t="s">
        <v>814</v>
      </c>
      <c r="B294" s="39" t="s">
        <v>2982</v>
      </c>
    </row>
    <row r="295" spans="1:2" s="39" customFormat="1" ht="15.75">
      <c r="A295" s="121" t="s">
        <v>814</v>
      </c>
      <c r="B295" s="39" t="s">
        <v>3012</v>
      </c>
    </row>
    <row r="296" spans="1:2" s="39" customFormat="1" ht="15.75">
      <c r="A296" s="121" t="s">
        <v>815</v>
      </c>
      <c r="B296" s="39" t="s">
        <v>3046</v>
      </c>
    </row>
    <row r="297" spans="1:2" s="39" customFormat="1" ht="15.75">
      <c r="A297" s="121" t="s">
        <v>815</v>
      </c>
      <c r="B297" s="39" t="s">
        <v>3209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2942</v>
      </c>
    </row>
    <row r="302" spans="1:2" s="39" customFormat="1" ht="15.75">
      <c r="A302" s="121" t="s">
        <v>814</v>
      </c>
      <c r="B302" s="39" t="s">
        <v>2950</v>
      </c>
    </row>
    <row r="303" spans="1:2" s="39" customFormat="1" ht="15.75">
      <c r="A303" s="121" t="s">
        <v>815</v>
      </c>
      <c r="B303" s="39" t="s">
        <v>3066</v>
      </c>
    </row>
    <row r="304" spans="1:2" s="39" customFormat="1" ht="15.75">
      <c r="A304" s="121" t="s">
        <v>816</v>
      </c>
      <c r="B304" s="39" t="s">
        <v>3085</v>
      </c>
    </row>
    <row r="305" spans="1:2" s="39" customFormat="1" ht="15.75">
      <c r="A305" s="121" t="s">
        <v>816</v>
      </c>
      <c r="B305" s="39" t="s">
        <v>3203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2884</v>
      </c>
    </row>
    <row r="310" spans="1:2" s="39" customFormat="1" ht="15.75">
      <c r="A310" s="121" t="s">
        <v>815</v>
      </c>
      <c r="B310" s="39" t="s">
        <v>2886</v>
      </c>
    </row>
    <row r="311" spans="1:2" s="39" customFormat="1" ht="15.75">
      <c r="A311" s="121" t="s">
        <v>814</v>
      </c>
      <c r="B311" s="39" t="s">
        <v>2926</v>
      </c>
    </row>
    <row r="312" spans="1:2" s="39" customFormat="1" ht="15.75">
      <c r="A312" s="121" t="s">
        <v>814</v>
      </c>
      <c r="B312" s="39" t="s">
        <v>2960</v>
      </c>
    </row>
    <row r="313" spans="1:2" s="39" customFormat="1" ht="15.75">
      <c r="A313" s="121" t="s">
        <v>816</v>
      </c>
      <c r="B313" s="39" t="s">
        <v>2971</v>
      </c>
    </row>
    <row r="314" spans="1:2" s="39" customFormat="1" ht="15.75">
      <c r="A314" s="121" t="s">
        <v>816</v>
      </c>
      <c r="B314" s="39" t="s">
        <v>3107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2974</v>
      </c>
    </row>
    <row r="319" spans="1:2" s="39" customFormat="1" ht="15.75">
      <c r="A319" s="121" t="s">
        <v>816</v>
      </c>
      <c r="B319" s="39" t="s">
        <v>2979</v>
      </c>
    </row>
    <row r="320" spans="1:2" s="39" customFormat="1" ht="15.75">
      <c r="A320" s="121" t="s">
        <v>815</v>
      </c>
      <c r="B320" s="39" t="s">
        <v>2993</v>
      </c>
    </row>
    <row r="321" spans="1:2" s="39" customFormat="1" ht="15.75">
      <c r="A321" s="121" t="s">
        <v>816</v>
      </c>
      <c r="B321" s="39" t="s">
        <v>3000</v>
      </c>
    </row>
    <row r="322" spans="1:2" s="39" customFormat="1" ht="15.75">
      <c r="A322" s="121" t="s">
        <v>814</v>
      </c>
      <c r="B322" s="39" t="s">
        <v>3038</v>
      </c>
    </row>
    <row r="323" spans="1:2" s="39" customFormat="1" ht="15.75">
      <c r="A323" s="121" t="s">
        <v>816</v>
      </c>
      <c r="B323" s="39" t="s">
        <v>3040</v>
      </c>
    </row>
    <row r="324" spans="1:2" s="39" customFormat="1" ht="15.75">
      <c r="A324" s="121" t="s">
        <v>815</v>
      </c>
      <c r="B324" s="39" t="s">
        <v>3081</v>
      </c>
    </row>
    <row r="325" spans="1:2" s="39" customFormat="1" ht="15.75">
      <c r="A325" s="121" t="s">
        <v>814</v>
      </c>
      <c r="B325" s="39" t="s">
        <v>3082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2011</v>
      </c>
    </row>
    <row r="329" spans="1:2" s="39" customFormat="1" ht="15.75">
      <c r="A329" s="121" t="s">
        <v>816</v>
      </c>
      <c r="B329" s="39" t="s">
        <v>2908</v>
      </c>
    </row>
    <row r="330" spans="1:2" s="39" customFormat="1" ht="15.75">
      <c r="A330" s="121" t="s">
        <v>814</v>
      </c>
      <c r="B330" s="39" t="s">
        <v>2921</v>
      </c>
    </row>
    <row r="331" spans="1:2" s="39" customFormat="1" ht="15.75">
      <c r="A331" s="121" t="s">
        <v>815</v>
      </c>
      <c r="B331" s="39" t="s">
        <v>2925</v>
      </c>
    </row>
    <row r="332" spans="1:2" s="39" customFormat="1" ht="15.75">
      <c r="A332" s="121" t="s">
        <v>815</v>
      </c>
      <c r="B332" s="39" t="s">
        <v>2942</v>
      </c>
    </row>
    <row r="333" spans="1:2" s="39" customFormat="1" ht="15.75">
      <c r="A333" s="121" t="s">
        <v>816</v>
      </c>
      <c r="B333" s="39" t="s">
        <v>2950</v>
      </c>
    </row>
    <row r="334" spans="1:2" s="39" customFormat="1" ht="15.75">
      <c r="A334" s="121" t="s">
        <v>815</v>
      </c>
      <c r="B334" s="39" t="s">
        <v>2951</v>
      </c>
    </row>
    <row r="335" spans="1:2" s="39" customFormat="1" ht="15.75">
      <c r="A335" s="121" t="s">
        <v>814</v>
      </c>
      <c r="B335" s="39" t="s">
        <v>2952</v>
      </c>
    </row>
    <row r="336" spans="1:2" s="39" customFormat="1" ht="15.75">
      <c r="A336" s="121" t="s">
        <v>815</v>
      </c>
      <c r="B336" s="39" t="s">
        <v>2967</v>
      </c>
    </row>
    <row r="337" spans="1:15" s="39" customFormat="1" ht="15.75">
      <c r="A337" s="121" t="s">
        <v>816</v>
      </c>
      <c r="B337" s="39" t="s">
        <v>2993</v>
      </c>
    </row>
    <row r="338" spans="1:15" s="39" customFormat="1" ht="15.75">
      <c r="A338" s="121" t="s">
        <v>815</v>
      </c>
      <c r="B338" s="39" t="s">
        <v>3003</v>
      </c>
    </row>
    <row r="339" spans="1:15" s="39" customFormat="1" ht="15.75">
      <c r="A339" s="121" t="s">
        <v>815</v>
      </c>
      <c r="B339" s="39" t="s">
        <v>3034</v>
      </c>
    </row>
    <row r="340" spans="1:15" s="39" customFormat="1" ht="15.75">
      <c r="A340" s="121" t="s">
        <v>815</v>
      </c>
      <c r="B340" s="39" t="s">
        <v>3057</v>
      </c>
    </row>
    <row r="341" spans="1:15" s="39" customFormat="1" ht="15.75">
      <c r="A341" s="121" t="s">
        <v>815</v>
      </c>
      <c r="B341" s="39" t="s">
        <v>3059</v>
      </c>
    </row>
    <row r="342" spans="1:15" s="39" customFormat="1" ht="15.75">
      <c r="A342" s="121" t="s">
        <v>814</v>
      </c>
      <c r="B342" s="39" t="s">
        <v>3063</v>
      </c>
    </row>
    <row r="343" spans="1:15" s="39" customFormat="1" ht="15.75">
      <c r="A343" s="121" t="s">
        <v>816</v>
      </c>
      <c r="B343" s="39" t="s">
        <v>3069</v>
      </c>
    </row>
    <row r="344" spans="1:15" s="39" customFormat="1" ht="15.75">
      <c r="A344" s="121" t="s">
        <v>816</v>
      </c>
      <c r="B344" s="39" t="s">
        <v>3084</v>
      </c>
    </row>
    <row r="345" spans="1:15" s="39" customFormat="1" ht="15.75">
      <c r="A345" s="121" t="s">
        <v>814</v>
      </c>
      <c r="B345" s="39" t="s">
        <v>3107</v>
      </c>
    </row>
    <row r="346" spans="1:15" s="39" customFormat="1" ht="15.75">
      <c r="A346" s="121" t="s">
        <v>814</v>
      </c>
      <c r="B346" s="39" t="s">
        <v>3218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2887</v>
      </c>
      <c r="K350" s="17"/>
      <c r="M350" s="10"/>
      <c r="O350" s="94"/>
    </row>
    <row r="351" spans="1:15" ht="15.75">
      <c r="A351" s="121" t="s">
        <v>815</v>
      </c>
      <c r="B351" s="39" t="s">
        <v>2890</v>
      </c>
      <c r="K351" s="17"/>
      <c r="M351" s="10"/>
      <c r="O351" s="94"/>
    </row>
    <row r="352" spans="1:15" ht="15.75">
      <c r="A352" s="121" t="s">
        <v>816</v>
      </c>
      <c r="B352" s="39" t="s">
        <v>2902</v>
      </c>
      <c r="K352" s="17"/>
      <c r="M352" s="10"/>
      <c r="O352" s="94"/>
    </row>
    <row r="353" spans="1:15" ht="15.75">
      <c r="A353" s="121" t="s">
        <v>814</v>
      </c>
      <c r="B353" s="39" t="s">
        <v>2914</v>
      </c>
      <c r="K353" s="17"/>
      <c r="M353" s="10"/>
      <c r="O353" s="94"/>
    </row>
    <row r="354" spans="1:15" ht="15.75">
      <c r="A354" s="121" t="s">
        <v>815</v>
      </c>
      <c r="B354" s="39" t="s">
        <v>2943</v>
      </c>
      <c r="K354" s="17"/>
      <c r="M354" s="10"/>
      <c r="O354" s="94"/>
    </row>
    <row r="355" spans="1:15" ht="15.75">
      <c r="A355" s="121" t="s">
        <v>814</v>
      </c>
      <c r="B355" s="39" t="s">
        <v>2954</v>
      </c>
      <c r="K355" s="17"/>
      <c r="M355" s="10"/>
      <c r="O355" s="94"/>
    </row>
    <row r="356" spans="1:15" ht="15.75">
      <c r="A356" s="121" t="s">
        <v>815</v>
      </c>
      <c r="B356" s="39" t="s">
        <v>3002</v>
      </c>
      <c r="K356" s="17"/>
      <c r="M356" s="10"/>
      <c r="O356" s="94"/>
    </row>
    <row r="357" spans="1:15" ht="15.75">
      <c r="A357" s="121" t="s">
        <v>814</v>
      </c>
      <c r="B357" s="39" t="s">
        <v>3011</v>
      </c>
      <c r="K357" s="17"/>
      <c r="M357" s="10"/>
      <c r="O357" s="94"/>
    </row>
    <row r="358" spans="1:15" ht="15.75">
      <c r="A358" s="121" t="s">
        <v>815</v>
      </c>
      <c r="B358" s="39" t="s">
        <v>3019</v>
      </c>
      <c r="K358" s="17"/>
      <c r="M358" s="10"/>
      <c r="O358" s="94"/>
    </row>
    <row r="359" spans="1:15" ht="15.75">
      <c r="A359" s="121" t="s">
        <v>814</v>
      </c>
      <c r="B359" s="39" t="s">
        <v>3021</v>
      </c>
      <c r="K359" s="17"/>
      <c r="M359" s="10"/>
      <c r="O359" s="94"/>
    </row>
    <row r="360" spans="1:15" ht="15.75">
      <c r="A360" s="121" t="s">
        <v>814</v>
      </c>
      <c r="B360" s="39" t="s">
        <v>3022</v>
      </c>
      <c r="K360" s="17"/>
      <c r="M360" s="10"/>
      <c r="O360" s="94"/>
    </row>
    <row r="361" spans="1:15" ht="15.75">
      <c r="A361" s="121" t="s">
        <v>815</v>
      </c>
      <c r="B361" s="39" t="s">
        <v>3027</v>
      </c>
      <c r="K361" s="17"/>
      <c r="M361" s="10"/>
      <c r="O361" s="94"/>
    </row>
    <row r="362" spans="1:15" ht="15.75">
      <c r="A362" s="121" t="s">
        <v>814</v>
      </c>
      <c r="B362" s="39" t="s">
        <v>3030</v>
      </c>
      <c r="K362" s="17"/>
      <c r="M362" s="10"/>
      <c r="O362" s="94"/>
    </row>
    <row r="363" spans="1:15" ht="15.75">
      <c r="A363" s="121" t="s">
        <v>816</v>
      </c>
      <c r="B363" s="39" t="s">
        <v>3031</v>
      </c>
      <c r="K363" s="17"/>
      <c r="M363" s="10"/>
      <c r="O363" s="94"/>
    </row>
    <row r="364" spans="1:15" ht="15.75">
      <c r="A364" s="121" t="s">
        <v>814</v>
      </c>
      <c r="B364" s="39" t="s">
        <v>3035</v>
      </c>
      <c r="K364" s="17"/>
      <c r="M364" s="10"/>
      <c r="O364" s="94"/>
    </row>
    <row r="365" spans="1:15" ht="15.75">
      <c r="A365" s="121" t="s">
        <v>814</v>
      </c>
      <c r="B365" s="39" t="s">
        <v>3036</v>
      </c>
      <c r="K365" s="17"/>
      <c r="M365" s="10"/>
      <c r="O365" s="94"/>
    </row>
    <row r="366" spans="1:15" ht="15.75">
      <c r="A366" s="121" t="s">
        <v>814</v>
      </c>
      <c r="B366" s="39" t="s">
        <v>3041</v>
      </c>
      <c r="K366" s="17"/>
      <c r="M366" s="10"/>
      <c r="O366" s="94"/>
    </row>
    <row r="367" spans="1:15" ht="15.75">
      <c r="A367" s="121" t="s">
        <v>815</v>
      </c>
      <c r="B367" s="39" t="s">
        <v>3049</v>
      </c>
      <c r="K367" s="17"/>
      <c r="M367" s="10"/>
      <c r="O367" s="94"/>
    </row>
    <row r="368" spans="1:15" ht="15.75">
      <c r="A368" s="121" t="s">
        <v>816</v>
      </c>
      <c r="B368" s="39" t="s">
        <v>3070</v>
      </c>
      <c r="K368" s="17"/>
      <c r="M368" s="10"/>
      <c r="O368" s="94"/>
    </row>
    <row r="369" spans="1:15" ht="15.75">
      <c r="A369" s="121" t="s">
        <v>816</v>
      </c>
      <c r="B369" s="39" t="s">
        <v>3081</v>
      </c>
      <c r="K369" s="17"/>
      <c r="M369" s="10"/>
      <c r="O369" s="94"/>
    </row>
    <row r="370" spans="1:15" ht="15.75">
      <c r="A370" s="121" t="s">
        <v>816</v>
      </c>
      <c r="B370" s="39" t="s">
        <v>3206</v>
      </c>
      <c r="K370" s="17"/>
      <c r="M370" s="10"/>
      <c r="O370" s="94"/>
    </row>
    <row r="371" spans="1:15" ht="15.75">
      <c r="A371" s="121" t="s">
        <v>816</v>
      </c>
      <c r="B371" s="39" t="s">
        <v>3214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2923</v>
      </c>
      <c r="K375" s="10"/>
      <c r="M375" s="17"/>
      <c r="O375" s="93"/>
    </row>
    <row r="376" spans="1:15" ht="15.75">
      <c r="A376" s="121" t="s">
        <v>815</v>
      </c>
      <c r="B376" s="39" t="s">
        <v>2924</v>
      </c>
      <c r="K376" s="10"/>
      <c r="M376" s="17"/>
      <c r="O376" s="93"/>
    </row>
    <row r="377" spans="1:15" ht="15.75">
      <c r="A377" s="121" t="s">
        <v>815</v>
      </c>
      <c r="B377" s="39" t="s">
        <v>2927</v>
      </c>
      <c r="K377" s="10"/>
      <c r="M377" s="17"/>
      <c r="O377" s="93"/>
    </row>
    <row r="378" spans="1:15" ht="15.75">
      <c r="A378" s="121" t="s">
        <v>816</v>
      </c>
      <c r="B378" s="39" t="s">
        <v>3002</v>
      </c>
      <c r="K378" s="10"/>
      <c r="M378" s="17"/>
      <c r="O378" s="93"/>
    </row>
    <row r="379" spans="1:15" ht="15.75">
      <c r="A379" s="121" t="s">
        <v>816</v>
      </c>
      <c r="B379" s="39" t="s">
        <v>3003</v>
      </c>
      <c r="K379" s="10"/>
      <c r="M379" s="17"/>
      <c r="O379" s="93"/>
    </row>
    <row r="380" spans="1:15" ht="15.75">
      <c r="A380" s="121" t="s">
        <v>814</v>
      </c>
      <c r="B380" s="39" t="s">
        <v>3010</v>
      </c>
      <c r="K380" s="10"/>
      <c r="M380" s="17"/>
      <c r="O380" s="93"/>
    </row>
    <row r="381" spans="1:15" ht="15.75">
      <c r="A381" s="121" t="s">
        <v>815</v>
      </c>
      <c r="B381" s="39" t="s">
        <v>3020</v>
      </c>
      <c r="K381" s="10"/>
      <c r="M381" s="17"/>
      <c r="O381" s="93"/>
    </row>
    <row r="382" spans="1:15" ht="15.75">
      <c r="A382" s="121" t="s">
        <v>815</v>
      </c>
      <c r="B382" s="39" t="s">
        <v>3024</v>
      </c>
      <c r="K382" s="10"/>
      <c r="M382" s="17"/>
      <c r="O382" s="93"/>
    </row>
    <row r="383" spans="1:15" ht="15.75">
      <c r="A383" s="121" t="s">
        <v>816</v>
      </c>
      <c r="B383" s="39" t="s">
        <v>3025</v>
      </c>
      <c r="K383" s="10"/>
      <c r="M383" s="17"/>
      <c r="O383" s="93"/>
    </row>
    <row r="384" spans="1:15" ht="15.75">
      <c r="A384" s="121" t="s">
        <v>816</v>
      </c>
      <c r="B384" s="39" t="s">
        <v>3057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2901</v>
      </c>
      <c r="K388" s="93"/>
      <c r="M388" s="92"/>
    </row>
    <row r="389" spans="1:15" ht="15.75">
      <c r="A389" s="121" t="s">
        <v>814</v>
      </c>
      <c r="B389" s="39" t="s">
        <v>2923</v>
      </c>
      <c r="K389" s="93"/>
      <c r="M389" s="92"/>
    </row>
    <row r="390" spans="1:15" ht="15.75">
      <c r="A390" s="121" t="s">
        <v>814</v>
      </c>
      <c r="B390" s="39" t="s">
        <v>2937</v>
      </c>
      <c r="K390" s="93"/>
      <c r="M390" s="92"/>
    </row>
    <row r="391" spans="1:15" ht="15.75">
      <c r="A391" s="121" t="s">
        <v>816</v>
      </c>
      <c r="B391" s="39" t="s">
        <v>2983</v>
      </c>
      <c r="K391" s="93"/>
      <c r="M391" s="92"/>
    </row>
    <row r="392" spans="1:15" ht="15.75">
      <c r="A392" s="121" t="s">
        <v>815</v>
      </c>
      <c r="B392" s="39" t="s">
        <v>2985</v>
      </c>
      <c r="K392" s="93"/>
      <c r="M392" s="92"/>
    </row>
    <row r="393" spans="1:15" ht="15.75">
      <c r="A393" s="121" t="s">
        <v>815</v>
      </c>
      <c r="B393" s="39" t="s">
        <v>2987</v>
      </c>
      <c r="K393" s="93"/>
      <c r="M393" s="92"/>
    </row>
    <row r="394" spans="1:15" ht="15.75">
      <c r="A394" s="121" t="s">
        <v>814</v>
      </c>
      <c r="B394" s="39" t="s">
        <v>3046</v>
      </c>
      <c r="K394" s="93"/>
      <c r="M394" s="92"/>
    </row>
    <row r="395" spans="1:15" ht="15.75">
      <c r="A395" s="121" t="s">
        <v>814</v>
      </c>
      <c r="B395" s="39" t="s">
        <v>3050</v>
      </c>
      <c r="K395" s="93"/>
      <c r="M395" s="92"/>
    </row>
    <row r="396" spans="1:15" ht="15.75">
      <c r="A396" s="121" t="s">
        <v>814</v>
      </c>
      <c r="B396" s="39" t="s">
        <v>3106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2896</v>
      </c>
      <c r="K400" s="197"/>
      <c r="M400" s="199"/>
    </row>
    <row r="401" spans="1:13" s="39" customFormat="1" ht="15.75">
      <c r="A401" s="121" t="s">
        <v>815</v>
      </c>
      <c r="B401" s="39" t="s">
        <v>2898</v>
      </c>
      <c r="K401" s="197"/>
      <c r="M401" s="199"/>
    </row>
    <row r="402" spans="1:13" s="39" customFormat="1" ht="15.75">
      <c r="A402" s="121" t="s">
        <v>815</v>
      </c>
      <c r="B402" s="39" t="s">
        <v>2952</v>
      </c>
      <c r="K402" s="197"/>
      <c r="M402" s="199"/>
    </row>
    <row r="403" spans="1:13" s="39" customFormat="1" ht="15.75">
      <c r="A403" s="121" t="s">
        <v>814</v>
      </c>
      <c r="B403" s="39" t="s">
        <v>2996</v>
      </c>
      <c r="K403" s="197"/>
      <c r="M403" s="199"/>
    </row>
    <row r="404" spans="1:13" s="39" customFormat="1" ht="15.75">
      <c r="A404" s="121" t="s">
        <v>814</v>
      </c>
      <c r="B404" s="39" t="s">
        <v>3008</v>
      </c>
      <c r="K404" s="197"/>
      <c r="M404" s="199"/>
    </row>
    <row r="405" spans="1:13" s="39" customFormat="1" ht="15.75">
      <c r="A405" s="121" t="s">
        <v>815</v>
      </c>
      <c r="B405" s="39" t="s">
        <v>3039</v>
      </c>
      <c r="K405" s="197"/>
      <c r="M405" s="199"/>
    </row>
    <row r="406" spans="1:13" s="39" customFormat="1" ht="15.75">
      <c r="A406" s="121" t="s">
        <v>816</v>
      </c>
      <c r="B406" s="39" t="s">
        <v>3048</v>
      </c>
      <c r="K406" s="197"/>
      <c r="M406" s="199"/>
    </row>
    <row r="407" spans="1:13" s="39" customFormat="1" ht="15.75">
      <c r="A407" s="121" t="s">
        <v>814</v>
      </c>
      <c r="B407" s="39" t="s">
        <v>3104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2892</v>
      </c>
      <c r="K411" s="10"/>
    </row>
    <row r="412" spans="1:13" ht="15.75">
      <c r="A412" s="121" t="s">
        <v>816</v>
      </c>
      <c r="B412" s="39" t="s">
        <v>2893</v>
      </c>
      <c r="K412" s="10"/>
    </row>
    <row r="413" spans="1:13" ht="15.75">
      <c r="A413" s="121" t="s">
        <v>815</v>
      </c>
      <c r="B413" s="39" t="s">
        <v>2899</v>
      </c>
      <c r="K413" s="10"/>
    </row>
    <row r="414" spans="1:13" ht="15.75">
      <c r="A414" s="121" t="s">
        <v>814</v>
      </c>
      <c r="B414" s="39" t="s">
        <v>2968</v>
      </c>
      <c r="K414" s="10"/>
    </row>
    <row r="415" spans="1:13" ht="15.75">
      <c r="A415" s="121" t="s">
        <v>814</v>
      </c>
      <c r="B415" s="39" t="s">
        <v>3008</v>
      </c>
      <c r="K415" s="10"/>
    </row>
    <row r="416" spans="1:13" ht="15.75">
      <c r="A416" s="121" t="s">
        <v>814</v>
      </c>
      <c r="B416" s="39" t="s">
        <v>3024</v>
      </c>
      <c r="K416" s="10"/>
    </row>
    <row r="417" spans="1:11" ht="15.75">
      <c r="A417" s="121" t="s">
        <v>816</v>
      </c>
      <c r="B417" s="39" t="s">
        <v>3030</v>
      </c>
      <c r="K417" s="10"/>
    </row>
    <row r="418" spans="1:11" ht="15.75">
      <c r="A418" s="121" t="s">
        <v>816</v>
      </c>
      <c r="B418" s="39" t="s">
        <v>3041</v>
      </c>
      <c r="K418" s="10"/>
    </row>
    <row r="419" spans="1:11" ht="15.75">
      <c r="A419" s="121" t="s">
        <v>816</v>
      </c>
      <c r="B419" s="39" t="s">
        <v>3075</v>
      </c>
      <c r="K419" s="10"/>
    </row>
    <row r="420" spans="1:11" ht="15.75">
      <c r="A420" s="121" t="s">
        <v>816</v>
      </c>
      <c r="B420" s="39" t="s">
        <v>3118</v>
      </c>
      <c r="K420" s="10"/>
    </row>
    <row r="421" spans="1:11" ht="15.75">
      <c r="A421" s="121" t="s">
        <v>815</v>
      </c>
      <c r="B421" s="39" t="s">
        <v>3176</v>
      </c>
      <c r="K421" s="10"/>
    </row>
    <row r="422" spans="1:11" ht="15.75">
      <c r="A422" s="121" t="s">
        <v>814</v>
      </c>
      <c r="B422" s="39" t="s">
        <v>3185</v>
      </c>
      <c r="K422" s="10"/>
    </row>
    <row r="423" spans="1:11" ht="15.75">
      <c r="A423" s="121" t="s">
        <v>814</v>
      </c>
      <c r="B423" s="39" t="s">
        <v>3189</v>
      </c>
      <c r="K423" s="10"/>
    </row>
    <row r="424" spans="1:11" ht="15.75">
      <c r="A424" s="121" t="s">
        <v>814</v>
      </c>
      <c r="B424" s="39" t="s">
        <v>3210</v>
      </c>
      <c r="K424" s="10"/>
    </row>
    <row r="425" spans="1:11" ht="15.75">
      <c r="A425" s="121" t="s">
        <v>815</v>
      </c>
      <c r="B425" s="39" t="s">
        <v>3216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4520</v>
      </c>
      <c r="B428" s="39"/>
      <c r="K428" s="10"/>
    </row>
    <row r="429" spans="1:11" ht="15.75">
      <c r="A429" s="121" t="s">
        <v>814</v>
      </c>
      <c r="B429" s="39" t="s">
        <v>2913</v>
      </c>
      <c r="K429" s="10"/>
    </row>
    <row r="430" spans="1:11" ht="15.75">
      <c r="A430" s="121" t="s">
        <v>816</v>
      </c>
      <c r="B430" s="39" t="s">
        <v>2923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2938</v>
      </c>
      <c r="K434" s="94"/>
    </row>
    <row r="435" spans="1:11" ht="15.75">
      <c r="A435" s="121" t="s">
        <v>816</v>
      </c>
      <c r="B435" s="39" t="s">
        <v>3026</v>
      </c>
      <c r="K435" s="94"/>
    </row>
    <row r="436" spans="1:11" ht="15.75">
      <c r="A436" s="121" t="s">
        <v>816</v>
      </c>
      <c r="B436" s="39" t="s">
        <v>3055</v>
      </c>
      <c r="K436" s="94"/>
    </row>
    <row r="437" spans="1:11" ht="15.75">
      <c r="A437" s="121" t="s">
        <v>814</v>
      </c>
      <c r="B437" s="39" t="s">
        <v>3060</v>
      </c>
      <c r="K437" s="94"/>
    </row>
    <row r="438" spans="1:11" ht="15.75">
      <c r="A438" s="121" t="s">
        <v>815</v>
      </c>
      <c r="B438" s="39" t="s">
        <v>3130</v>
      </c>
      <c r="K438" s="94"/>
    </row>
    <row r="439" spans="1:11" ht="15.75">
      <c r="A439" s="121" t="s">
        <v>816</v>
      </c>
      <c r="B439" s="39" t="s">
        <v>3134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2885</v>
      </c>
      <c r="K443" s="92"/>
    </row>
    <row r="444" spans="1:11" ht="15.75">
      <c r="A444" s="121" t="s">
        <v>816</v>
      </c>
      <c r="B444" s="39" t="s">
        <v>2899</v>
      </c>
      <c r="K444" s="92"/>
    </row>
    <row r="445" spans="1:11" ht="15.75">
      <c r="A445" s="121" t="s">
        <v>814</v>
      </c>
      <c r="B445" s="39" t="s">
        <v>2910</v>
      </c>
      <c r="K445" s="92"/>
    </row>
    <row r="446" spans="1:11" ht="15.75">
      <c r="A446" s="121" t="s">
        <v>815</v>
      </c>
      <c r="B446" s="39" t="s">
        <v>2931</v>
      </c>
      <c r="K446" s="92"/>
    </row>
    <row r="447" spans="1:11" ht="15.75">
      <c r="A447" s="121" t="s">
        <v>814</v>
      </c>
      <c r="B447" s="39" t="s">
        <v>2932</v>
      </c>
      <c r="K447" s="92"/>
    </row>
    <row r="448" spans="1:11" ht="15.75">
      <c r="A448" s="121" t="s">
        <v>816</v>
      </c>
      <c r="B448" s="39" t="s">
        <v>2956</v>
      </c>
      <c r="K448" s="92"/>
    </row>
    <row r="449" spans="1:11" ht="15.75">
      <c r="A449" s="121" t="s">
        <v>816</v>
      </c>
      <c r="B449" s="39" t="s">
        <v>2977</v>
      </c>
      <c r="K449" s="92"/>
    </row>
    <row r="450" spans="1:11" ht="15.75">
      <c r="A450" s="121" t="s">
        <v>814</v>
      </c>
      <c r="B450" s="39" t="s">
        <v>2978</v>
      </c>
      <c r="K450" s="92"/>
    </row>
    <row r="451" spans="1:11" ht="15.75">
      <c r="A451" s="121" t="s">
        <v>816</v>
      </c>
      <c r="B451" s="39" t="s">
        <v>2982</v>
      </c>
      <c r="K451" s="92"/>
    </row>
    <row r="452" spans="1:11" ht="15.75">
      <c r="A452" s="121" t="s">
        <v>816</v>
      </c>
      <c r="B452" s="39" t="s">
        <v>2986</v>
      </c>
      <c r="K452" s="92"/>
    </row>
    <row r="453" spans="1:11" ht="15.75">
      <c r="A453" s="121" t="s">
        <v>816</v>
      </c>
      <c r="B453" s="39" t="s">
        <v>3012</v>
      </c>
      <c r="K453" s="92"/>
    </row>
    <row r="454" spans="1:11" ht="15.75">
      <c r="A454" s="121" t="s">
        <v>816</v>
      </c>
      <c r="B454" s="39" t="s">
        <v>3013</v>
      </c>
      <c r="K454" s="92"/>
    </row>
    <row r="455" spans="1:11" ht="15.75">
      <c r="A455" s="121" t="s">
        <v>815</v>
      </c>
      <c r="B455" s="39" t="s">
        <v>3021</v>
      </c>
      <c r="K455" s="92"/>
    </row>
    <row r="456" spans="1:11" ht="15.75">
      <c r="A456" s="121" t="s">
        <v>814</v>
      </c>
      <c r="B456" s="39" t="s">
        <v>3027</v>
      </c>
      <c r="K456" s="92"/>
    </row>
    <row r="457" spans="1:11" ht="15.75">
      <c r="A457" s="121" t="s">
        <v>815</v>
      </c>
      <c r="B457" s="39" t="s">
        <v>3032</v>
      </c>
      <c r="K457" s="92"/>
    </row>
    <row r="458" spans="1:11" ht="15.75">
      <c r="A458" s="121" t="s">
        <v>816</v>
      </c>
      <c r="B458" s="39" t="s">
        <v>3038</v>
      </c>
      <c r="K458" s="92"/>
    </row>
    <row r="459" spans="1:11" ht="15.75">
      <c r="A459" s="121" t="s">
        <v>815</v>
      </c>
      <c r="B459" s="39" t="s">
        <v>3040</v>
      </c>
      <c r="K459" s="92"/>
    </row>
    <row r="460" spans="1:11" ht="15.75">
      <c r="A460" s="121" t="s">
        <v>816</v>
      </c>
      <c r="B460" s="39" t="s">
        <v>3042</v>
      </c>
      <c r="K460" s="92"/>
    </row>
    <row r="461" spans="1:11" ht="15.75">
      <c r="A461" s="121" t="s">
        <v>814</v>
      </c>
      <c r="B461" s="39" t="s">
        <v>3045</v>
      </c>
      <c r="K461" s="92"/>
    </row>
    <row r="462" spans="1:11" ht="15.75">
      <c r="A462" s="121" t="s">
        <v>814</v>
      </c>
      <c r="B462" s="39" t="s">
        <v>3075</v>
      </c>
      <c r="K462" s="92"/>
    </row>
    <row r="463" spans="1:11" ht="15.75">
      <c r="A463" s="121" t="s">
        <v>816</v>
      </c>
      <c r="B463" s="39" t="s">
        <v>3141</v>
      </c>
      <c r="K463" s="92"/>
    </row>
    <row r="464" spans="1:11" ht="15.75">
      <c r="A464" s="121" t="s">
        <v>816</v>
      </c>
      <c r="B464" s="39" t="s">
        <v>3149</v>
      </c>
      <c r="K464" s="92"/>
    </row>
    <row r="465" spans="1:11" ht="15.75">
      <c r="A465" s="121" t="s">
        <v>816</v>
      </c>
      <c r="B465" s="39" t="s">
        <v>3180</v>
      </c>
      <c r="K465" s="92"/>
    </row>
    <row r="466" spans="1:11" ht="15.75">
      <c r="A466" s="121" t="s">
        <v>815</v>
      </c>
      <c r="B466" s="39" t="s">
        <v>3181</v>
      </c>
      <c r="K466" s="92"/>
    </row>
    <row r="467" spans="1:11" ht="15.75">
      <c r="A467" s="121" t="s">
        <v>816</v>
      </c>
      <c r="B467" s="39" t="s">
        <v>3183</v>
      </c>
      <c r="K467" s="92"/>
    </row>
    <row r="468" spans="1:11" ht="15.75">
      <c r="A468" s="121" t="s">
        <v>816</v>
      </c>
      <c r="B468" s="39" t="s">
        <v>3184</v>
      </c>
      <c r="K468" s="92"/>
    </row>
    <row r="469" spans="1:11" ht="15.75">
      <c r="A469" s="121" t="s">
        <v>815</v>
      </c>
      <c r="B469" s="39" t="s">
        <v>3185</v>
      </c>
      <c r="K469" s="92"/>
    </row>
    <row r="470" spans="1:11" ht="15.75">
      <c r="A470" s="121" t="s">
        <v>815</v>
      </c>
      <c r="B470" s="39" t="s">
        <v>3188</v>
      </c>
      <c r="K470" s="92"/>
    </row>
    <row r="471" spans="1:11" ht="15.75">
      <c r="A471" s="121" t="s">
        <v>816</v>
      </c>
      <c r="B471" s="39" t="s">
        <v>3189</v>
      </c>
      <c r="K471" s="92"/>
    </row>
    <row r="472" spans="1:11" ht="15.75">
      <c r="A472" s="121" t="s">
        <v>815</v>
      </c>
      <c r="B472" s="39" t="s">
        <v>3191</v>
      </c>
      <c r="K472" s="92"/>
    </row>
    <row r="473" spans="1:11" ht="15.75">
      <c r="A473" s="121" t="s">
        <v>816</v>
      </c>
      <c r="B473" s="39" t="s">
        <v>3197</v>
      </c>
      <c r="K473" s="92"/>
    </row>
    <row r="474" spans="1:11" ht="15.75">
      <c r="A474" s="121" t="s">
        <v>816</v>
      </c>
      <c r="B474" s="39" t="s">
        <v>3198</v>
      </c>
      <c r="K474" s="92"/>
    </row>
    <row r="475" spans="1:11" ht="15.75">
      <c r="A475" s="121" t="s">
        <v>816</v>
      </c>
      <c r="B475" s="39" t="s">
        <v>3209</v>
      </c>
      <c r="K475" s="92"/>
    </row>
    <row r="476" spans="1:11" ht="15.75">
      <c r="A476" s="121" t="s">
        <v>816</v>
      </c>
      <c r="B476" s="39" t="s">
        <v>3213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3215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2921</v>
      </c>
      <c r="K483" s="16"/>
    </row>
    <row r="484" spans="1:11" s="39" customFormat="1" ht="15.75">
      <c r="A484" s="121" t="s">
        <v>814</v>
      </c>
      <c r="B484" s="39" t="s">
        <v>2924</v>
      </c>
      <c r="K484" s="16"/>
    </row>
    <row r="485" spans="1:11" s="39" customFormat="1" ht="15.75">
      <c r="A485" s="121" t="s">
        <v>814</v>
      </c>
      <c r="B485" s="39" t="s">
        <v>2939</v>
      </c>
      <c r="K485" s="16"/>
    </row>
    <row r="486" spans="1:11" s="39" customFormat="1" ht="15.75">
      <c r="A486" s="121" t="s">
        <v>814</v>
      </c>
      <c r="B486" s="39" t="s">
        <v>2965</v>
      </c>
      <c r="K486" s="16"/>
    </row>
    <row r="487" spans="1:11" s="39" customFormat="1" ht="15.75">
      <c r="A487" s="121" t="s">
        <v>815</v>
      </c>
      <c r="B487" s="39" t="s">
        <v>2977</v>
      </c>
      <c r="K487" s="16"/>
    </row>
    <row r="488" spans="1:11" s="39" customFormat="1" ht="15.75">
      <c r="A488" s="121" t="s">
        <v>816</v>
      </c>
      <c r="B488" s="39" t="s">
        <v>3001</v>
      </c>
      <c r="K488" s="16"/>
    </row>
    <row r="489" spans="1:11" s="39" customFormat="1" ht="15.75">
      <c r="A489" s="121" t="s">
        <v>815</v>
      </c>
      <c r="B489" s="39" t="s">
        <v>3016</v>
      </c>
      <c r="K489" s="16"/>
    </row>
    <row r="490" spans="1:11" s="39" customFormat="1" ht="15.75">
      <c r="A490" s="121" t="s">
        <v>816</v>
      </c>
      <c r="B490" s="39" t="s">
        <v>3032</v>
      </c>
      <c r="K490" s="16"/>
    </row>
    <row r="491" spans="1:11" s="39" customFormat="1" ht="15.75">
      <c r="A491" s="121" t="s">
        <v>814</v>
      </c>
      <c r="B491" s="39" t="s">
        <v>3052</v>
      </c>
      <c r="K491" s="16"/>
    </row>
    <row r="492" spans="1:11" s="39" customFormat="1" ht="15.75">
      <c r="A492" s="121" t="s">
        <v>814</v>
      </c>
      <c r="B492" s="39" t="s">
        <v>3067</v>
      </c>
      <c r="K492" s="16"/>
    </row>
    <row r="493" spans="1:11" s="39" customFormat="1" ht="15.75">
      <c r="A493" s="121" t="s">
        <v>815</v>
      </c>
      <c r="B493" s="39" t="s">
        <v>3068</v>
      </c>
      <c r="K493" s="16"/>
    </row>
    <row r="494" spans="1:11" s="39" customFormat="1" ht="15.75">
      <c r="A494" s="121" t="s">
        <v>814</v>
      </c>
      <c r="B494" s="39" t="s">
        <v>3070</v>
      </c>
      <c r="K494" s="16"/>
    </row>
    <row r="495" spans="1:11" s="39" customFormat="1" ht="15.75">
      <c r="A495" s="121" t="s">
        <v>815</v>
      </c>
      <c r="B495" s="39" t="s">
        <v>3073</v>
      </c>
      <c r="K495" s="16"/>
    </row>
    <row r="496" spans="1:11" s="39" customFormat="1" ht="15.75">
      <c r="A496" s="121" t="s">
        <v>816</v>
      </c>
      <c r="B496" s="39" t="s">
        <v>3074</v>
      </c>
      <c r="K496" s="16"/>
    </row>
    <row r="497" spans="1:11" s="39" customFormat="1" ht="15.75">
      <c r="A497" s="121" t="s">
        <v>816</v>
      </c>
      <c r="B497" s="39" t="s">
        <v>3079</v>
      </c>
      <c r="K497" s="16"/>
    </row>
    <row r="498" spans="1:11" s="39" customFormat="1" ht="15.75">
      <c r="A498" s="121" t="s">
        <v>814</v>
      </c>
      <c r="B498" s="39" t="s">
        <v>3080</v>
      </c>
      <c r="K498" s="16"/>
    </row>
    <row r="499" spans="1:11" s="39" customFormat="1" ht="15.75">
      <c r="A499" s="121" t="s">
        <v>816</v>
      </c>
      <c r="B499" s="39" t="s">
        <v>3135</v>
      </c>
      <c r="K499" s="16"/>
    </row>
    <row r="500" spans="1:11" s="39" customFormat="1" ht="15.75">
      <c r="A500" s="121" t="s">
        <v>816</v>
      </c>
      <c r="B500" s="39" t="s">
        <v>3207</v>
      </c>
      <c r="K500" s="16"/>
    </row>
    <row r="501" spans="1:11" s="39" customFormat="1" ht="15.75">
      <c r="A501" s="121" t="s">
        <v>815</v>
      </c>
      <c r="B501" s="39" t="s">
        <v>3217</v>
      </c>
      <c r="K501" s="16"/>
    </row>
    <row r="502" spans="1:11" s="39" customFormat="1" ht="15.75">
      <c r="A502" s="121" t="s">
        <v>815</v>
      </c>
      <c r="B502" s="39" t="s">
        <v>3219</v>
      </c>
      <c r="K502" s="16"/>
    </row>
    <row r="503" spans="1:11" s="39" customFormat="1" ht="15.75">
      <c r="A503" s="121" t="s">
        <v>815</v>
      </c>
      <c r="B503" s="39" t="s">
        <v>3220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2030</v>
      </c>
      <c r="K506" s="16"/>
    </row>
    <row r="507" spans="1:11" s="39" customFormat="1" ht="15.75">
      <c r="A507" s="121" t="s">
        <v>814</v>
      </c>
      <c r="B507" s="39" t="s">
        <v>2884</v>
      </c>
      <c r="K507" s="16"/>
    </row>
    <row r="508" spans="1:11" s="39" customFormat="1" ht="15.75">
      <c r="A508" s="121" t="s">
        <v>814</v>
      </c>
      <c r="B508" s="39" t="s">
        <v>2886</v>
      </c>
      <c r="K508" s="16"/>
    </row>
    <row r="509" spans="1:11" s="39" customFormat="1" ht="15.75">
      <c r="A509" s="121" t="s">
        <v>814</v>
      </c>
      <c r="B509" s="39" t="s">
        <v>2887</v>
      </c>
      <c r="K509" s="16"/>
    </row>
    <row r="510" spans="1:11" s="39" customFormat="1" ht="15.75">
      <c r="A510" s="121" t="s">
        <v>816</v>
      </c>
      <c r="B510" s="39" t="s">
        <v>2895</v>
      </c>
      <c r="K510" s="16"/>
    </row>
    <row r="511" spans="1:11" s="39" customFormat="1" ht="15.75">
      <c r="A511" s="121" t="s">
        <v>814</v>
      </c>
      <c r="B511" s="39" t="s">
        <v>2897</v>
      </c>
      <c r="K511" s="16"/>
    </row>
    <row r="512" spans="1:11" s="39" customFormat="1" ht="15.75">
      <c r="A512" s="121" t="s">
        <v>814</v>
      </c>
      <c r="B512" s="39" t="s">
        <v>2912</v>
      </c>
      <c r="K512" s="16"/>
    </row>
    <row r="513" spans="1:11" s="39" customFormat="1" ht="15.75">
      <c r="A513" s="121" t="s">
        <v>815</v>
      </c>
      <c r="B513" s="39" t="s">
        <v>2938</v>
      </c>
      <c r="K513" s="16"/>
    </row>
    <row r="514" spans="1:11" s="39" customFormat="1" ht="15.75">
      <c r="A514" s="121" t="s">
        <v>815</v>
      </c>
      <c r="B514" s="39" t="s">
        <v>2961</v>
      </c>
      <c r="K514" s="16"/>
    </row>
    <row r="515" spans="1:11" s="39" customFormat="1" ht="15.75">
      <c r="A515" s="121" t="s">
        <v>815</v>
      </c>
      <c r="B515" s="39" t="s">
        <v>2964</v>
      </c>
      <c r="K515" s="16"/>
    </row>
    <row r="516" spans="1:11" s="39" customFormat="1" ht="15.75">
      <c r="A516" s="121" t="s">
        <v>814</v>
      </c>
      <c r="B516" s="39" t="s">
        <v>3000</v>
      </c>
      <c r="K516" s="16"/>
    </row>
    <row r="517" spans="1:11" s="39" customFormat="1" ht="15.75">
      <c r="A517" s="121" t="s">
        <v>816</v>
      </c>
      <c r="B517" s="39" t="s">
        <v>3043</v>
      </c>
      <c r="K517" s="16"/>
    </row>
    <row r="518" spans="1:11" s="39" customFormat="1" ht="15.75">
      <c r="A518" s="121" t="s">
        <v>814</v>
      </c>
      <c r="B518" s="39" t="s">
        <v>3051</v>
      </c>
      <c r="K518" s="16"/>
    </row>
    <row r="519" spans="1:11" s="39" customFormat="1" ht="15.75">
      <c r="A519" s="121" t="s">
        <v>815</v>
      </c>
      <c r="B519" s="39" t="s">
        <v>3053</v>
      </c>
      <c r="K519" s="16"/>
    </row>
    <row r="520" spans="1:11" s="39" customFormat="1" ht="15.75">
      <c r="A520" s="121" t="s">
        <v>814</v>
      </c>
      <c r="B520" s="39" t="s">
        <v>3065</v>
      </c>
      <c r="K520" s="16"/>
    </row>
    <row r="521" spans="1:11" s="39" customFormat="1" ht="15.75">
      <c r="A521" s="121" t="s">
        <v>815</v>
      </c>
      <c r="B521" s="39" t="s">
        <v>3072</v>
      </c>
      <c r="K521" s="16"/>
    </row>
    <row r="522" spans="1:11" s="39" customFormat="1" ht="15.75">
      <c r="A522" s="121" t="s">
        <v>815</v>
      </c>
      <c r="B522" s="39" t="s">
        <v>3075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2031</v>
      </c>
      <c r="K525" s="16"/>
    </row>
    <row r="526" spans="1:11" s="39" customFormat="1" ht="15.75">
      <c r="A526" s="121" t="s">
        <v>816</v>
      </c>
      <c r="B526" s="39" t="s">
        <v>2894</v>
      </c>
      <c r="K526" s="16"/>
    </row>
    <row r="527" spans="1:11" s="39" customFormat="1" ht="15.75">
      <c r="A527" s="121" t="s">
        <v>816</v>
      </c>
      <c r="B527" s="39" t="s">
        <v>2927</v>
      </c>
      <c r="K527" s="16"/>
    </row>
    <row r="528" spans="1:11" s="39" customFormat="1" ht="15.75">
      <c r="A528" s="121" t="s">
        <v>815</v>
      </c>
      <c r="B528" s="39" t="s">
        <v>2969</v>
      </c>
      <c r="K528" s="16"/>
    </row>
    <row r="529" spans="1:11" s="39" customFormat="1" ht="15.75">
      <c r="A529" s="121" t="s">
        <v>814</v>
      </c>
      <c r="B529" s="39" t="s">
        <v>3023</v>
      </c>
      <c r="K529" s="16"/>
    </row>
    <row r="530" spans="1:11" s="39" customFormat="1" ht="15.75">
      <c r="A530" s="121" t="s">
        <v>816</v>
      </c>
      <c r="B530" s="39" t="s">
        <v>3054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3047</v>
      </c>
      <c r="K534" s="199"/>
    </row>
    <row r="535" spans="1:11" s="39" customFormat="1" ht="15.75">
      <c r="A535" s="121" t="s">
        <v>814</v>
      </c>
      <c r="B535" s="39" t="s">
        <v>3142</v>
      </c>
      <c r="K535" s="199"/>
    </row>
    <row r="536" spans="1:11" s="39" customFormat="1" ht="15.75">
      <c r="A536" s="121" t="s">
        <v>814</v>
      </c>
      <c r="B536" s="39" t="s">
        <v>3176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2944</v>
      </c>
      <c r="I540" s="121"/>
    </row>
    <row r="541" spans="1:11" s="39" customFormat="1" ht="15.75">
      <c r="A541" s="121" t="s">
        <v>814</v>
      </c>
      <c r="B541" s="39" t="s">
        <v>2968</v>
      </c>
    </row>
    <row r="542" spans="1:11" s="39" customFormat="1" ht="15.75">
      <c r="A542" s="121" t="s">
        <v>814</v>
      </c>
      <c r="B542" s="39" t="s">
        <v>2983</v>
      </c>
    </row>
    <row r="543" spans="1:11" s="39" customFormat="1" ht="15.75">
      <c r="A543" s="121" t="s">
        <v>815</v>
      </c>
      <c r="B543" s="39" t="s">
        <v>2990</v>
      </c>
    </row>
    <row r="544" spans="1:11" s="39" customFormat="1" ht="15.75">
      <c r="A544" s="121" t="s">
        <v>816</v>
      </c>
      <c r="B544" s="39" t="s">
        <v>2999</v>
      </c>
    </row>
    <row r="545" spans="1:2" s="39" customFormat="1" ht="15.75">
      <c r="A545" s="121" t="s">
        <v>814</v>
      </c>
      <c r="B545" s="39" t="s">
        <v>3019</v>
      </c>
    </row>
    <row r="546" spans="1:2" s="39" customFormat="1" ht="15.75">
      <c r="A546" s="121" t="s">
        <v>815</v>
      </c>
      <c r="B546" s="39" t="s">
        <v>3023</v>
      </c>
    </row>
    <row r="547" spans="1:2" s="39" customFormat="1" ht="15.75">
      <c r="A547" s="121" t="s">
        <v>816</v>
      </c>
      <c r="B547" s="39" t="s">
        <v>3029</v>
      </c>
    </row>
    <row r="548" spans="1:2" s="39" customFormat="1" ht="15.75">
      <c r="A548" s="121" t="s">
        <v>814</v>
      </c>
      <c r="B548" s="39" t="s">
        <v>3058</v>
      </c>
    </row>
    <row r="549" spans="1:2" s="39" customFormat="1" ht="15.75">
      <c r="A549" s="121" t="s">
        <v>814</v>
      </c>
      <c r="B549" s="39" t="s">
        <v>3059</v>
      </c>
    </row>
    <row r="550" spans="1:2" s="39" customFormat="1" ht="15.75">
      <c r="A550" s="121" t="s">
        <v>814</v>
      </c>
      <c r="B550" s="39" t="s">
        <v>3062</v>
      </c>
    </row>
    <row r="551" spans="1:2" s="39" customFormat="1" ht="15.75">
      <c r="A551" s="121" t="s">
        <v>816</v>
      </c>
      <c r="B551" s="39" t="s">
        <v>3080</v>
      </c>
    </row>
    <row r="552" spans="1:2" s="39" customFormat="1" ht="15.75">
      <c r="A552" s="121" t="s">
        <v>814</v>
      </c>
      <c r="B552" s="39" t="s">
        <v>3081</v>
      </c>
    </row>
    <row r="553" spans="1:2" s="39" customFormat="1" ht="15.75">
      <c r="A553" s="121" t="s">
        <v>816</v>
      </c>
      <c r="B553" s="39" t="s">
        <v>3186</v>
      </c>
    </row>
    <row r="554" spans="1:2" s="39" customFormat="1" ht="15.75">
      <c r="A554" s="121" t="s">
        <v>814</v>
      </c>
      <c r="B554" s="39" t="s">
        <v>3196</v>
      </c>
    </row>
    <row r="555" spans="1:2" s="39" customFormat="1" ht="15.75">
      <c r="A555" s="121" t="s">
        <v>814</v>
      </c>
      <c r="B555" s="39" t="s">
        <v>3208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2920</v>
      </c>
    </row>
    <row r="560" spans="1:2" s="39" customFormat="1" ht="15.75">
      <c r="A560" s="121" t="s">
        <v>815</v>
      </c>
      <c r="B560" s="39" t="s">
        <v>2922</v>
      </c>
    </row>
    <row r="561" spans="1:2" s="39" customFormat="1" ht="15.75">
      <c r="A561" s="121" t="s">
        <v>816</v>
      </c>
      <c r="B561" s="39" t="s">
        <v>2930</v>
      </c>
    </row>
    <row r="562" spans="1:2" s="39" customFormat="1" ht="15.75">
      <c r="A562" s="121" t="s">
        <v>814</v>
      </c>
      <c r="B562" s="39" t="s">
        <v>2955</v>
      </c>
    </row>
    <row r="563" spans="1:2" s="39" customFormat="1" ht="15.75">
      <c r="A563" s="121" t="s">
        <v>814</v>
      </c>
      <c r="B563" s="39" t="s">
        <v>2970</v>
      </c>
    </row>
    <row r="564" spans="1:2" s="39" customFormat="1" ht="15.75">
      <c r="A564" s="121" t="s">
        <v>814</v>
      </c>
      <c r="B564" s="39" t="s">
        <v>2997</v>
      </c>
    </row>
    <row r="565" spans="1:2" s="39" customFormat="1" ht="15.75">
      <c r="A565" s="121" t="s">
        <v>815</v>
      </c>
      <c r="B565" s="39" t="s">
        <v>3060</v>
      </c>
    </row>
    <row r="566" spans="1:2" s="39" customFormat="1" ht="15.75">
      <c r="A566" s="121" t="s">
        <v>815</v>
      </c>
      <c r="B566" s="39" t="s">
        <v>3064</v>
      </c>
    </row>
    <row r="567" spans="1:2" s="39" customFormat="1" ht="15.75">
      <c r="A567" s="121" t="s">
        <v>814</v>
      </c>
      <c r="B567" s="39" t="s">
        <v>3078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2907</v>
      </c>
    </row>
    <row r="572" spans="1:2" s="39" customFormat="1" ht="15.75">
      <c r="A572" s="121" t="s">
        <v>816</v>
      </c>
      <c r="B572" s="39" t="s">
        <v>2946</v>
      </c>
    </row>
    <row r="573" spans="1:2" s="39" customFormat="1" ht="15.75">
      <c r="A573" s="121" t="s">
        <v>814</v>
      </c>
      <c r="B573" s="39" t="s">
        <v>2998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2896</v>
      </c>
    </row>
    <row r="578" spans="1:7" s="39" customFormat="1" ht="15.75">
      <c r="A578" s="121" t="s">
        <v>815</v>
      </c>
      <c r="B578" s="39" t="s">
        <v>2915</v>
      </c>
    </row>
    <row r="579" spans="1:7" s="39" customFormat="1" ht="15.75">
      <c r="A579" s="121" t="s">
        <v>814</v>
      </c>
      <c r="B579" s="39" t="s">
        <v>2931</v>
      </c>
    </row>
    <row r="580" spans="1:7" s="39" customFormat="1" ht="15.75">
      <c r="A580" s="121" t="s">
        <v>816</v>
      </c>
      <c r="B580" s="39" t="s">
        <v>2976</v>
      </c>
    </row>
    <row r="581" spans="1:7" s="39" customFormat="1" ht="15.75">
      <c r="A581" s="121" t="s">
        <v>816</v>
      </c>
      <c r="B581" s="39" t="s">
        <v>2988</v>
      </c>
    </row>
    <row r="582" spans="1:7" s="39" customFormat="1" ht="15.75">
      <c r="A582" s="121" t="s">
        <v>815</v>
      </c>
      <c r="B582" s="39" t="s">
        <v>2989</v>
      </c>
    </row>
    <row r="583" spans="1:7" s="39" customFormat="1" ht="15.75">
      <c r="A583" s="121" t="s">
        <v>815</v>
      </c>
      <c r="B583" s="39" t="s">
        <v>2991</v>
      </c>
      <c r="G583" s="121"/>
    </row>
    <row r="584" spans="1:7" s="39" customFormat="1" ht="15.75">
      <c r="A584" s="121" t="s">
        <v>815</v>
      </c>
      <c r="B584" s="39" t="s">
        <v>2992</v>
      </c>
    </row>
    <row r="585" spans="1:7" s="39" customFormat="1" ht="15.75">
      <c r="A585" s="121" t="s">
        <v>816</v>
      </c>
      <c r="B585" s="39" t="s">
        <v>2995</v>
      </c>
    </row>
    <row r="586" spans="1:7" s="39" customFormat="1" ht="15.75">
      <c r="A586" s="121" t="s">
        <v>816</v>
      </c>
      <c r="B586" s="39" t="s">
        <v>3001</v>
      </c>
    </row>
    <row r="587" spans="1:7" s="39" customFormat="1" ht="15.75">
      <c r="A587" s="121" t="s">
        <v>815</v>
      </c>
      <c r="B587" s="39" t="s">
        <v>3007</v>
      </c>
    </row>
    <row r="588" spans="1:7" s="39" customFormat="1" ht="15.75">
      <c r="A588" s="121" t="s">
        <v>814</v>
      </c>
      <c r="B588" s="39" t="s">
        <v>3026</v>
      </c>
    </row>
    <row r="589" spans="1:7" s="39" customFormat="1" ht="15.75">
      <c r="A589" s="121" t="s">
        <v>815</v>
      </c>
      <c r="B589" s="39" t="s">
        <v>3028</v>
      </c>
    </row>
    <row r="590" spans="1:7" s="39" customFormat="1" ht="15.75">
      <c r="A590" s="121" t="s">
        <v>816</v>
      </c>
      <c r="B590" s="39" t="s">
        <v>3037</v>
      </c>
    </row>
    <row r="591" spans="1:7" s="39" customFormat="1" ht="15.75">
      <c r="A591" s="121" t="s">
        <v>816</v>
      </c>
      <c r="B591" s="39" t="s">
        <v>3076</v>
      </c>
    </row>
    <row r="592" spans="1:7" s="39" customFormat="1" ht="15.75">
      <c r="A592" s="121" t="s">
        <v>816</v>
      </c>
      <c r="B592" s="39" t="s">
        <v>3099</v>
      </c>
    </row>
    <row r="593" spans="1:2" s="39" customFormat="1" ht="15.75">
      <c r="A593" s="121" t="s">
        <v>816</v>
      </c>
      <c r="B593" s="39" t="s">
        <v>3210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2929</v>
      </c>
    </row>
    <row r="598" spans="1:2" s="39" customFormat="1" ht="15.75">
      <c r="A598" s="121" t="s">
        <v>814</v>
      </c>
      <c r="B598" s="39" t="s">
        <v>2930</v>
      </c>
    </row>
    <row r="599" spans="1:2" s="39" customFormat="1" ht="15.75">
      <c r="A599" s="121" t="s">
        <v>814</v>
      </c>
      <c r="B599" s="39" t="s">
        <v>3014</v>
      </c>
    </row>
    <row r="600" spans="1:2" s="39" customFormat="1" ht="15.75">
      <c r="A600" s="121" t="s">
        <v>815</v>
      </c>
      <c r="B600" s="39" t="s">
        <v>3097</v>
      </c>
    </row>
    <row r="601" spans="1:2" s="39" customFormat="1" ht="15.75">
      <c r="A601" s="121" t="s">
        <v>816</v>
      </c>
      <c r="B601" s="39" t="s">
        <v>3126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2915</v>
      </c>
    </row>
    <row r="606" spans="1:2" s="39" customFormat="1" ht="15.75">
      <c r="A606" s="121" t="s">
        <v>815</v>
      </c>
      <c r="B606" s="39" t="s">
        <v>2981</v>
      </c>
    </row>
    <row r="607" spans="1:2" s="39" customFormat="1" ht="15.75">
      <c r="A607" s="121" t="s">
        <v>814</v>
      </c>
      <c r="B607" s="39" t="s">
        <v>2986</v>
      </c>
    </row>
    <row r="608" spans="1:2" s="39" customFormat="1" ht="15.75">
      <c r="A608" s="121" t="s">
        <v>815</v>
      </c>
      <c r="B608" s="39" t="s">
        <v>2988</v>
      </c>
    </row>
    <row r="609" spans="1:2" s="39" customFormat="1" ht="15.75">
      <c r="A609" s="121" t="s">
        <v>814</v>
      </c>
      <c r="B609" s="39" t="s">
        <v>2991</v>
      </c>
    </row>
    <row r="610" spans="1:2" s="39" customFormat="1" ht="15.75">
      <c r="A610" s="121" t="s">
        <v>816</v>
      </c>
      <c r="B610" s="39" t="s">
        <v>2992</v>
      </c>
    </row>
    <row r="611" spans="1:2" s="39" customFormat="1" ht="15.75">
      <c r="A611" s="121" t="s">
        <v>815</v>
      </c>
      <c r="B611" s="39" t="s">
        <v>2994</v>
      </c>
    </row>
    <row r="612" spans="1:2" s="39" customFormat="1" ht="15.75">
      <c r="A612" s="121" t="s">
        <v>814</v>
      </c>
      <c r="B612" s="39" t="s">
        <v>2995</v>
      </c>
    </row>
    <row r="613" spans="1:2" s="39" customFormat="1" ht="15.75">
      <c r="A613" s="121" t="s">
        <v>815</v>
      </c>
      <c r="B613" s="39" t="s">
        <v>3011</v>
      </c>
    </row>
    <row r="614" spans="1:2" s="39" customFormat="1" ht="15.75">
      <c r="A614" s="121" t="s">
        <v>816</v>
      </c>
      <c r="B614" s="39" t="s">
        <v>3020</v>
      </c>
    </row>
    <row r="615" spans="1:2" s="39" customFormat="1" ht="15.75">
      <c r="A615" s="121" t="s">
        <v>816</v>
      </c>
      <c r="B615" s="39" t="s">
        <v>3047</v>
      </c>
    </row>
    <row r="616" spans="1:2" s="39" customFormat="1" ht="15.75">
      <c r="A616" s="121" t="s">
        <v>814</v>
      </c>
      <c r="B616" s="39" t="s">
        <v>3057</v>
      </c>
    </row>
    <row r="617" spans="1:2" s="39" customFormat="1" ht="15.75">
      <c r="A617" s="121" t="s">
        <v>816</v>
      </c>
      <c r="B617" s="39" t="s">
        <v>3190</v>
      </c>
    </row>
    <row r="618" spans="1:2" s="39" customFormat="1" ht="15.75">
      <c r="A618" s="121" t="s">
        <v>814</v>
      </c>
      <c r="B618" s="39" t="s">
        <v>3191</v>
      </c>
    </row>
    <row r="619" spans="1:2" s="39" customFormat="1" ht="15.75">
      <c r="A619" s="121" t="s">
        <v>815</v>
      </c>
      <c r="B619" s="39" t="s">
        <v>3193</v>
      </c>
    </row>
    <row r="620" spans="1:2" s="39" customFormat="1" ht="15.75">
      <c r="A620" s="121" t="s">
        <v>815</v>
      </c>
      <c r="B620" s="39" t="s">
        <v>3194</v>
      </c>
    </row>
    <row r="621" spans="1:2" s="39" customFormat="1" ht="15.75">
      <c r="A621" s="121" t="s">
        <v>815</v>
      </c>
      <c r="B621" s="39" t="s">
        <v>3195</v>
      </c>
    </row>
    <row r="622" spans="1:2" s="39" customFormat="1" ht="15.75">
      <c r="A622" s="121" t="s">
        <v>816</v>
      </c>
      <c r="B622" s="39" t="s">
        <v>3196</v>
      </c>
    </row>
    <row r="623" spans="1:2" s="39" customFormat="1" ht="15.75">
      <c r="A623" s="121" t="s">
        <v>815</v>
      </c>
      <c r="B623" s="39" t="s">
        <v>3197</v>
      </c>
    </row>
    <row r="624" spans="1:2" s="39" customFormat="1" ht="15.75">
      <c r="A624" s="121" t="s">
        <v>815</v>
      </c>
      <c r="B624" s="39" t="s">
        <v>3198</v>
      </c>
    </row>
    <row r="625" spans="1:2" s="39" customFormat="1" ht="15.75">
      <c r="A625" s="121" t="s">
        <v>816</v>
      </c>
      <c r="B625" s="39" t="s">
        <v>3204</v>
      </c>
    </row>
    <row r="626" spans="1:2" s="39" customFormat="1" ht="15.75">
      <c r="A626" s="121" t="s">
        <v>815</v>
      </c>
      <c r="B626" s="39" t="s">
        <v>3211</v>
      </c>
    </row>
    <row r="627" spans="1:2" s="39" customFormat="1" ht="15.75">
      <c r="A627" s="121" t="s">
        <v>814</v>
      </c>
      <c r="B627" s="39" t="s">
        <v>3212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3215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2907</v>
      </c>
    </row>
    <row r="634" spans="1:2" ht="15.75">
      <c r="A634" s="121" t="s">
        <v>815</v>
      </c>
      <c r="B634" s="39" t="s">
        <v>2909</v>
      </c>
    </row>
    <row r="635" spans="1:2" ht="15.75">
      <c r="A635" s="121" t="s">
        <v>815</v>
      </c>
      <c r="B635" s="39" t="s">
        <v>2911</v>
      </c>
    </row>
    <row r="636" spans="1:2" ht="15.75">
      <c r="A636" s="121" t="s">
        <v>814</v>
      </c>
      <c r="B636" s="39" t="s">
        <v>2917</v>
      </c>
    </row>
    <row r="637" spans="1:2" ht="15.75">
      <c r="A637" s="121" t="s">
        <v>814</v>
      </c>
      <c r="B637" s="39" t="s">
        <v>2919</v>
      </c>
    </row>
    <row r="638" spans="1:2" ht="15.75">
      <c r="A638" s="121" t="s">
        <v>815</v>
      </c>
      <c r="B638" s="39" t="s">
        <v>2940</v>
      </c>
    </row>
    <row r="639" spans="1:2" ht="15.75">
      <c r="A639" s="121" t="s">
        <v>816</v>
      </c>
      <c r="B639" s="39" t="s">
        <v>2952</v>
      </c>
    </row>
    <row r="640" spans="1:2" ht="15.75">
      <c r="A640" s="121" t="s">
        <v>816</v>
      </c>
      <c r="B640" s="39" t="s">
        <v>2963</v>
      </c>
    </row>
    <row r="641" spans="1:2" ht="15.75">
      <c r="A641" s="121" t="s">
        <v>814</v>
      </c>
      <c r="B641" s="39" t="s">
        <v>2971</v>
      </c>
    </row>
    <row r="642" spans="1:2" ht="15.75">
      <c r="A642" s="121" t="s">
        <v>814</v>
      </c>
      <c r="B642" s="39" t="s">
        <v>2999</v>
      </c>
    </row>
    <row r="643" spans="1:2" ht="15.75">
      <c r="A643" s="121" t="s">
        <v>815</v>
      </c>
      <c r="B643" s="39" t="s">
        <v>3052</v>
      </c>
    </row>
    <row r="644" spans="1:2" ht="15.75">
      <c r="A644" s="121" t="s">
        <v>816</v>
      </c>
      <c r="B644" s="39" t="s">
        <v>3058</v>
      </c>
    </row>
    <row r="645" spans="1:2" ht="15.75">
      <c r="A645" s="121" t="s">
        <v>815</v>
      </c>
      <c r="B645" s="39" t="s">
        <v>3063</v>
      </c>
    </row>
    <row r="646" spans="1:2" ht="15.75">
      <c r="A646" s="121" t="s">
        <v>815</v>
      </c>
      <c r="B646" s="39" t="s">
        <v>3080</v>
      </c>
    </row>
    <row r="647" spans="1:2" ht="15.75">
      <c r="A647" s="121" t="s">
        <v>814</v>
      </c>
      <c r="B647" s="39" t="s">
        <v>3084</v>
      </c>
    </row>
    <row r="648" spans="1:2" ht="15.75">
      <c r="A648" s="121" t="s">
        <v>815</v>
      </c>
      <c r="B648" s="39" t="s">
        <v>3100</v>
      </c>
    </row>
    <row r="649" spans="1:2" ht="15.75">
      <c r="A649" s="121" t="s">
        <v>816</v>
      </c>
      <c r="B649" s="39" t="s">
        <v>3105</v>
      </c>
    </row>
    <row r="650" spans="1:2" ht="15.75">
      <c r="A650" s="121" t="s">
        <v>815</v>
      </c>
      <c r="B650" s="39" t="s">
        <v>3126</v>
      </c>
    </row>
    <row r="651" spans="1:2" ht="15.75">
      <c r="A651" s="121" t="s">
        <v>814</v>
      </c>
      <c r="B651" s="39" t="s">
        <v>3128</v>
      </c>
    </row>
    <row r="652" spans="1:2" ht="15.75">
      <c r="A652" s="121" t="s">
        <v>815</v>
      </c>
      <c r="B652" s="39" t="s">
        <v>3178</v>
      </c>
    </row>
    <row r="653" spans="1:2" ht="15.75">
      <c r="A653" s="121" t="s">
        <v>816</v>
      </c>
      <c r="B653" s="39" t="s">
        <v>3218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2032</v>
      </c>
      <c r="B656" s="39"/>
    </row>
    <row r="657" spans="1:2" ht="15.75">
      <c r="A657" s="121" t="s">
        <v>816</v>
      </c>
      <c r="B657" s="39" t="s">
        <v>2923</v>
      </c>
    </row>
    <row r="658" spans="1:2" ht="15.75">
      <c r="A658" s="121" t="s">
        <v>815</v>
      </c>
      <c r="B658" s="39" t="s">
        <v>2933</v>
      </c>
    </row>
    <row r="659" spans="1:2" ht="15.75">
      <c r="A659" s="121" t="s">
        <v>815</v>
      </c>
      <c r="B659" s="39" t="s">
        <v>3031</v>
      </c>
    </row>
    <row r="660" spans="1:2" ht="15.75">
      <c r="A660" s="121" t="s">
        <v>815</v>
      </c>
      <c r="B660" s="39" t="s">
        <v>3033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2893</v>
      </c>
    </row>
    <row r="665" spans="1:2" s="39" customFormat="1" ht="15.75">
      <c r="A665" s="121" t="s">
        <v>814</v>
      </c>
      <c r="B665" s="39" t="s">
        <v>2898</v>
      </c>
    </row>
    <row r="666" spans="1:2" s="39" customFormat="1" ht="15.75">
      <c r="A666" s="121" t="s">
        <v>815</v>
      </c>
      <c r="B666" s="39" t="s">
        <v>2912</v>
      </c>
    </row>
    <row r="667" spans="1:2" s="39" customFormat="1" ht="15.75">
      <c r="A667" s="121" t="s">
        <v>814</v>
      </c>
      <c r="B667" s="39" t="s">
        <v>2916</v>
      </c>
    </row>
    <row r="668" spans="1:2" s="39" customFormat="1" ht="15.75">
      <c r="A668" s="121" t="s">
        <v>816</v>
      </c>
      <c r="B668" s="39" t="s">
        <v>2985</v>
      </c>
    </row>
    <row r="669" spans="1:2" s="39" customFormat="1" ht="15.75">
      <c r="A669" s="121" t="s">
        <v>816</v>
      </c>
      <c r="B669" s="39" t="s">
        <v>3011</v>
      </c>
    </row>
    <row r="670" spans="1:2" s="39" customFormat="1" ht="15.75">
      <c r="A670" s="121" t="s">
        <v>814</v>
      </c>
      <c r="B670" s="39" t="s">
        <v>3203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2908</v>
      </c>
    </row>
    <row r="675" spans="1:2" s="39" customFormat="1" ht="15.75">
      <c r="A675" s="121" t="s">
        <v>814</v>
      </c>
      <c r="B675" s="39" t="s">
        <v>2909</v>
      </c>
    </row>
    <row r="676" spans="1:2" s="39" customFormat="1" ht="15.75">
      <c r="A676" s="121" t="s">
        <v>814</v>
      </c>
      <c r="B676" s="39" t="s">
        <v>2923</v>
      </c>
    </row>
    <row r="677" spans="1:2" s="39" customFormat="1" ht="15.75">
      <c r="A677" s="121" t="s">
        <v>814</v>
      </c>
      <c r="B677" s="39" t="s">
        <v>2925</v>
      </c>
    </row>
    <row r="678" spans="1:2" s="39" customFormat="1" ht="15.75">
      <c r="A678" s="121" t="s">
        <v>814</v>
      </c>
      <c r="B678" s="39" t="s">
        <v>2951</v>
      </c>
    </row>
    <row r="679" spans="1:2" s="39" customFormat="1" ht="15.75">
      <c r="A679" s="121" t="s">
        <v>814</v>
      </c>
      <c r="B679" s="39" t="s">
        <v>2961</v>
      </c>
    </row>
    <row r="680" spans="1:2" s="39" customFormat="1" ht="15.75">
      <c r="A680" s="121" t="s">
        <v>814</v>
      </c>
      <c r="B680" s="39" t="s">
        <v>3017</v>
      </c>
    </row>
    <row r="681" spans="1:2" s="39" customFormat="1" ht="15.75">
      <c r="A681" s="121" t="s">
        <v>816</v>
      </c>
      <c r="B681" s="39" t="s">
        <v>3034</v>
      </c>
    </row>
    <row r="682" spans="1:2" s="39" customFormat="1" ht="15.75">
      <c r="A682" s="121" t="s">
        <v>814</v>
      </c>
      <c r="B682" s="39" t="s">
        <v>3043</v>
      </c>
    </row>
    <row r="683" spans="1:2" s="39" customFormat="1" ht="15.75">
      <c r="A683" s="121" t="s">
        <v>816</v>
      </c>
      <c r="B683" s="39" t="s">
        <v>3051</v>
      </c>
    </row>
    <row r="684" spans="1:2" s="39" customFormat="1" ht="15.75">
      <c r="A684" s="121" t="s">
        <v>814</v>
      </c>
      <c r="B684" s="39" t="s">
        <v>3054</v>
      </c>
    </row>
    <row r="685" spans="1:2" s="39" customFormat="1" ht="15.75">
      <c r="A685" s="121" t="s">
        <v>814</v>
      </c>
      <c r="B685" s="39" t="s">
        <v>3100</v>
      </c>
    </row>
    <row r="686" spans="1:2" s="39" customFormat="1" ht="15.75">
      <c r="A686" s="121" t="s">
        <v>814</v>
      </c>
      <c r="B686" s="39" t="s">
        <v>3149</v>
      </c>
    </row>
    <row r="687" spans="1:2" s="39" customFormat="1" ht="15.75">
      <c r="A687" s="121" t="s">
        <v>815</v>
      </c>
      <c r="B687" s="39" t="s">
        <v>3218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2884</v>
      </c>
    </row>
    <row r="692" spans="1:8" s="39" customFormat="1" ht="15.75">
      <c r="A692" s="121" t="s">
        <v>815</v>
      </c>
      <c r="B692" s="39" t="s">
        <v>2901</v>
      </c>
    </row>
    <row r="693" spans="1:8" s="39" customFormat="1" ht="15.75">
      <c r="A693" s="121" t="s">
        <v>816</v>
      </c>
      <c r="B693" s="39" t="s">
        <v>2909</v>
      </c>
    </row>
    <row r="694" spans="1:8" s="39" customFormat="1" ht="15.75">
      <c r="A694" s="121" t="s">
        <v>814</v>
      </c>
      <c r="B694" s="39" t="s">
        <v>2972</v>
      </c>
    </row>
    <row r="695" spans="1:8" s="39" customFormat="1" ht="15.75">
      <c r="A695" s="121" t="s">
        <v>814</v>
      </c>
      <c r="B695" s="39" t="s">
        <v>3005</v>
      </c>
    </row>
    <row r="696" spans="1:8" s="39" customFormat="1" ht="15.75">
      <c r="A696" s="121" t="s">
        <v>814</v>
      </c>
      <c r="B696" s="39" t="s">
        <v>3055</v>
      </c>
    </row>
    <row r="697" spans="1:8" s="39" customFormat="1" ht="15.75">
      <c r="A697" s="121" t="s">
        <v>815</v>
      </c>
      <c r="B697" s="39" t="s">
        <v>3142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2891</v>
      </c>
      <c r="H702" s="121"/>
    </row>
    <row r="703" spans="1:8" s="39" customFormat="1" ht="15.75">
      <c r="A703" s="121" t="s">
        <v>816</v>
      </c>
      <c r="B703" s="39" t="s">
        <v>2897</v>
      </c>
      <c r="H703" s="121"/>
    </row>
    <row r="704" spans="1:8" s="39" customFormat="1" ht="15.75">
      <c r="A704" s="121" t="s">
        <v>816</v>
      </c>
      <c r="B704" s="39" t="s">
        <v>2959</v>
      </c>
      <c r="H704" s="121"/>
    </row>
    <row r="705" spans="1:8" s="39" customFormat="1" ht="15.75">
      <c r="A705" s="121" t="s">
        <v>815</v>
      </c>
      <c r="B705" s="39" t="s">
        <v>2972</v>
      </c>
      <c r="H705" s="121"/>
    </row>
    <row r="706" spans="1:8" s="39" customFormat="1" ht="15.75">
      <c r="A706" s="121" t="s">
        <v>815</v>
      </c>
      <c r="B706" s="39" t="s">
        <v>3009</v>
      </c>
      <c r="H706" s="121"/>
    </row>
    <row r="707" spans="1:8" s="39" customFormat="1" ht="15.75">
      <c r="A707" s="121" t="s">
        <v>816</v>
      </c>
      <c r="B707" s="39" t="s">
        <v>3066</v>
      </c>
      <c r="H707" s="121"/>
    </row>
    <row r="708" spans="1:8" s="39" customFormat="1" ht="15.75">
      <c r="A708" s="121" t="s">
        <v>815</v>
      </c>
      <c r="B708" s="39" t="s">
        <v>3179</v>
      </c>
      <c r="H708" s="121"/>
    </row>
    <row r="709" spans="1:8" s="39" customFormat="1" ht="15.75">
      <c r="A709" s="121" t="s">
        <v>814</v>
      </c>
      <c r="B709" s="39" t="s">
        <v>3182</v>
      </c>
      <c r="H709" s="121"/>
    </row>
    <row r="710" spans="1:8" s="39" customFormat="1" ht="15.75">
      <c r="A710" s="121" t="s">
        <v>815</v>
      </c>
      <c r="B710" s="39" t="s">
        <v>3184</v>
      </c>
      <c r="H710" s="121"/>
    </row>
    <row r="711" spans="1:8" s="39" customFormat="1" ht="15.75">
      <c r="A711" s="121" t="s">
        <v>816</v>
      </c>
      <c r="B711" s="39" t="s">
        <v>3193</v>
      </c>
      <c r="H711" s="121"/>
    </row>
    <row r="712" spans="1:8" s="39" customFormat="1" ht="15.75">
      <c r="A712" s="121" t="s">
        <v>815</v>
      </c>
      <c r="B712" s="39" t="s">
        <v>3214</v>
      </c>
      <c r="H712" s="121"/>
    </row>
    <row r="713" spans="1:8" s="39" customFormat="1" ht="15.75">
      <c r="A713" s="121" t="s">
        <v>816</v>
      </c>
      <c r="B713" s="39" t="s">
        <v>3216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2890</v>
      </c>
    </row>
    <row r="718" spans="1:8" s="39" customFormat="1" ht="15.75">
      <c r="A718" s="121" t="s">
        <v>815</v>
      </c>
      <c r="B718" s="39" t="s">
        <v>2945</v>
      </c>
    </row>
    <row r="719" spans="1:8" s="39" customFormat="1" ht="15.75">
      <c r="A719" s="121" t="s">
        <v>814</v>
      </c>
      <c r="B719" s="39" t="s">
        <v>2948</v>
      </c>
    </row>
    <row r="720" spans="1:8" s="39" customFormat="1" ht="15.75">
      <c r="A720" s="121" t="s">
        <v>814</v>
      </c>
      <c r="B720" s="39" t="s">
        <v>2949</v>
      </c>
    </row>
    <row r="721" spans="1:2" s="39" customFormat="1" ht="15.75">
      <c r="A721" s="121" t="s">
        <v>815</v>
      </c>
      <c r="B721" s="39" t="s">
        <v>2954</v>
      </c>
    </row>
    <row r="722" spans="1:2" s="39" customFormat="1" ht="15.75">
      <c r="A722" s="121" t="s">
        <v>815</v>
      </c>
      <c r="B722" s="39" t="s">
        <v>2957</v>
      </c>
    </row>
    <row r="723" spans="1:2" s="39" customFormat="1" ht="15.75">
      <c r="A723" s="121" t="s">
        <v>814</v>
      </c>
      <c r="B723" s="39" t="s">
        <v>3006</v>
      </c>
    </row>
    <row r="724" spans="1:2" s="39" customFormat="1" ht="15.75">
      <c r="A724" s="121" t="s">
        <v>814</v>
      </c>
      <c r="B724" s="39" t="s">
        <v>3007</v>
      </c>
    </row>
    <row r="725" spans="1:2" s="39" customFormat="1" ht="15.75">
      <c r="A725" s="121" t="s">
        <v>816</v>
      </c>
      <c r="B725" s="39" t="s">
        <v>3083</v>
      </c>
    </row>
    <row r="726" spans="1:2" s="39" customFormat="1" ht="15.75">
      <c r="A726" s="121" t="s">
        <v>814</v>
      </c>
      <c r="B726" s="39" t="s">
        <v>3105</v>
      </c>
    </row>
    <row r="727" spans="1:2" s="39" customFormat="1" ht="15.75">
      <c r="A727" s="121" t="s">
        <v>814</v>
      </c>
      <c r="B727" s="39" t="s">
        <v>3132</v>
      </c>
    </row>
    <row r="728" spans="1:2" s="39" customFormat="1" ht="15.75">
      <c r="A728" s="121" t="s">
        <v>814</v>
      </c>
      <c r="B728" s="39" t="s">
        <v>3141</v>
      </c>
    </row>
    <row r="729" spans="1:2" s="39" customFormat="1" ht="15.75">
      <c r="A729" s="121" t="s">
        <v>815</v>
      </c>
      <c r="B729" s="39" t="s">
        <v>3192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2896</v>
      </c>
    </row>
    <row r="734" spans="1:2" s="39" customFormat="1" ht="15.75">
      <c r="A734" s="121" t="s">
        <v>814</v>
      </c>
      <c r="B734" s="39" t="s">
        <v>2957</v>
      </c>
    </row>
    <row r="735" spans="1:2" s="39" customFormat="1" ht="15.75">
      <c r="A735" s="121" t="s">
        <v>814</v>
      </c>
      <c r="B735" s="39" t="s">
        <v>3105</v>
      </c>
    </row>
    <row r="736" spans="1:2" s="39" customFormat="1" ht="15.75">
      <c r="A736" s="121" t="s">
        <v>814</v>
      </c>
      <c r="B736" s="39" t="s">
        <v>3206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2930</v>
      </c>
    </row>
    <row r="741" spans="1:2" s="39" customFormat="1" ht="15.75">
      <c r="A741" s="121" t="s">
        <v>815</v>
      </c>
      <c r="B741" s="39" t="s">
        <v>2962</v>
      </c>
    </row>
    <row r="742" spans="1:2" s="39" customFormat="1" ht="15.75">
      <c r="A742" s="121" t="s">
        <v>815</v>
      </c>
      <c r="B742" s="39" t="s">
        <v>3029</v>
      </c>
    </row>
    <row r="743" spans="1:2" s="39" customFormat="1" ht="15.75">
      <c r="A743" s="121" t="s">
        <v>816</v>
      </c>
      <c r="B743" s="39" t="s">
        <v>3065</v>
      </c>
    </row>
    <row r="744" spans="1:2" s="39" customFormat="1" ht="15.75">
      <c r="A744" s="121" t="s">
        <v>816</v>
      </c>
      <c r="B744" s="39" t="s">
        <v>3072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2928</v>
      </c>
    </row>
    <row r="749" spans="1:2" s="39" customFormat="1" ht="15.75">
      <c r="A749" s="121" t="s">
        <v>815</v>
      </c>
      <c r="B749" s="39" t="s">
        <v>2937</v>
      </c>
    </row>
    <row r="750" spans="1:2" s="39" customFormat="1" ht="15.75">
      <c r="A750" s="121" t="s">
        <v>816</v>
      </c>
      <c r="B750" s="39" t="s">
        <v>2954</v>
      </c>
    </row>
    <row r="751" spans="1:2" s="39" customFormat="1" ht="15.75">
      <c r="A751" s="121" t="s">
        <v>816</v>
      </c>
      <c r="B751" s="39" t="s">
        <v>2960</v>
      </c>
    </row>
    <row r="752" spans="1:2" s="39" customFormat="1" ht="15.75">
      <c r="A752" s="121" t="s">
        <v>814</v>
      </c>
      <c r="B752" s="39" t="s">
        <v>2994</v>
      </c>
    </row>
    <row r="753" spans="1:2" s="39" customFormat="1" ht="15.75">
      <c r="A753" s="121" t="s">
        <v>815</v>
      </c>
      <c r="B753" s="39" t="s">
        <v>3022</v>
      </c>
    </row>
    <row r="754" spans="1:2" s="39" customFormat="1" ht="15.75">
      <c r="A754" s="121" t="s">
        <v>815</v>
      </c>
      <c r="B754" s="39" t="s">
        <v>3047</v>
      </c>
    </row>
    <row r="755" spans="1:2" s="39" customFormat="1" ht="15.75">
      <c r="A755" s="121" t="s">
        <v>815</v>
      </c>
      <c r="B755" s="39" t="s">
        <v>3061</v>
      </c>
    </row>
    <row r="756" spans="1:2" s="39" customFormat="1" ht="15.75">
      <c r="A756" s="121" t="s">
        <v>814</v>
      </c>
      <c r="B756" s="39" t="s">
        <v>3130</v>
      </c>
    </row>
    <row r="757" spans="1:2" s="39" customFormat="1" ht="15.75">
      <c r="A757" s="121" t="s">
        <v>815</v>
      </c>
      <c r="B757" s="39" t="s">
        <v>3132</v>
      </c>
    </row>
    <row r="758" spans="1:2" s="39" customFormat="1" ht="15.75">
      <c r="A758" s="121" t="s">
        <v>814</v>
      </c>
      <c r="B758" s="39" t="s">
        <v>3135</v>
      </c>
    </row>
    <row r="759" spans="1:2" s="39" customFormat="1" ht="15.75">
      <c r="A759" s="121" t="s">
        <v>815</v>
      </c>
      <c r="B759" s="39" t="s">
        <v>3208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2936</v>
      </c>
    </row>
    <row r="764" spans="1:2" ht="15.75">
      <c r="A764" s="121" t="s">
        <v>814</v>
      </c>
      <c r="B764" s="39" t="s">
        <v>2953</v>
      </c>
    </row>
    <row r="765" spans="1:2" ht="15.75">
      <c r="A765" s="121" t="s">
        <v>815</v>
      </c>
      <c r="B765" s="39" t="s">
        <v>2956</v>
      </c>
    </row>
    <row r="766" spans="1:2" ht="15.75">
      <c r="A766" s="121" t="s">
        <v>814</v>
      </c>
      <c r="B766" s="39" t="s">
        <v>2981</v>
      </c>
    </row>
    <row r="767" spans="1:2" ht="15.75">
      <c r="A767" s="121" t="s">
        <v>815</v>
      </c>
      <c r="B767" s="39" t="s">
        <v>3118</v>
      </c>
    </row>
    <row r="768" spans="1:2" ht="15.75">
      <c r="A768" s="121" t="s">
        <v>816</v>
      </c>
      <c r="B768" s="39" t="s">
        <v>3185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2054</v>
      </c>
      <c r="B771" s="39"/>
    </row>
    <row r="772" spans="1:10" ht="15.75">
      <c r="A772" s="121" t="s">
        <v>816</v>
      </c>
      <c r="B772" s="39" t="s">
        <v>2886</v>
      </c>
    </row>
    <row r="773" spans="1:10" ht="15.75">
      <c r="A773" s="121" t="s">
        <v>816</v>
      </c>
      <c r="B773" s="39" t="s">
        <v>2887</v>
      </c>
    </row>
    <row r="774" spans="1:10" ht="15.75">
      <c r="A774" s="121" t="s">
        <v>815</v>
      </c>
      <c r="B774" s="39" t="s">
        <v>2900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2904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2912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2918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2955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2980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3001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3044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3053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3060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3061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3064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3072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3076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3082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2901</v>
      </c>
    </row>
    <row r="793" spans="1:10" ht="15.75">
      <c r="A793" s="121" t="s">
        <v>815</v>
      </c>
      <c r="B793" s="39" t="s">
        <v>3055</v>
      </c>
    </row>
    <row r="794" spans="1:10" ht="15.75">
      <c r="A794" s="121" t="s">
        <v>815</v>
      </c>
      <c r="B794" s="39" t="s">
        <v>3134</v>
      </c>
    </row>
    <row r="795" spans="1:10" ht="15.75">
      <c r="A795" s="121" t="s">
        <v>816</v>
      </c>
      <c r="B795" s="39" t="s">
        <v>3142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2987</v>
      </c>
    </row>
    <row r="800" spans="1:10" ht="15.75">
      <c r="A800" s="121" t="s">
        <v>815</v>
      </c>
      <c r="B800" s="39" t="s">
        <v>3018</v>
      </c>
    </row>
    <row r="801" spans="1:2" ht="15.75">
      <c r="A801" s="121" t="s">
        <v>815</v>
      </c>
      <c r="B801" s="39" t="s">
        <v>3083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2056</v>
      </c>
      <c r="B804" s="39"/>
    </row>
    <row r="805" spans="1:2" ht="15.75">
      <c r="A805" s="121" t="s">
        <v>816</v>
      </c>
      <c r="B805" s="39" t="s">
        <v>2922</v>
      </c>
    </row>
    <row r="806" spans="1:2" ht="15.75">
      <c r="A806" s="121" t="s">
        <v>814</v>
      </c>
      <c r="B806" s="39" t="s">
        <v>2945</v>
      </c>
    </row>
    <row r="807" spans="1:2" ht="15.75">
      <c r="A807" s="121" t="s">
        <v>816</v>
      </c>
      <c r="B807" s="39" t="s">
        <v>2947</v>
      </c>
    </row>
    <row r="808" spans="1:2" ht="15.75">
      <c r="A808" s="121" t="s">
        <v>815</v>
      </c>
      <c r="B808" s="39" t="s">
        <v>2971</v>
      </c>
    </row>
    <row r="809" spans="1:2" ht="15.75">
      <c r="A809" s="121" t="s">
        <v>814</v>
      </c>
      <c r="B809" s="39" t="s">
        <v>3044</v>
      </c>
    </row>
    <row r="810" spans="1:2" ht="15.75">
      <c r="A810" s="121" t="s">
        <v>816</v>
      </c>
      <c r="B810" s="39" t="s">
        <v>3046</v>
      </c>
    </row>
    <row r="811" spans="1:2" ht="15.75">
      <c r="A811" s="121" t="s">
        <v>814</v>
      </c>
      <c r="B811" s="39" t="s">
        <v>3205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2161</v>
      </c>
      <c r="B814" s="39"/>
    </row>
    <row r="815" spans="1:2" ht="15.75">
      <c r="A815" s="121" t="s">
        <v>816</v>
      </c>
      <c r="B815" s="39" t="s">
        <v>2893</v>
      </c>
    </row>
    <row r="816" spans="1:2" ht="15.75">
      <c r="A816" s="121" t="s">
        <v>815</v>
      </c>
      <c r="B816" s="39" t="s">
        <v>2928</v>
      </c>
    </row>
    <row r="817" spans="1:2" ht="15.75">
      <c r="A817" s="121" t="s">
        <v>816</v>
      </c>
      <c r="B817" s="39" t="s">
        <v>2965</v>
      </c>
    </row>
    <row r="818" spans="1:2" ht="15.75">
      <c r="A818" s="121" t="s">
        <v>814</v>
      </c>
      <c r="B818" s="39" t="s">
        <v>3099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2902</v>
      </c>
    </row>
    <row r="823" spans="1:2" ht="15.75">
      <c r="A823" s="121" t="s">
        <v>815</v>
      </c>
      <c r="B823" s="39" t="s">
        <v>2949</v>
      </c>
    </row>
    <row r="824" spans="1:2" ht="15.75">
      <c r="A824" s="121" t="s">
        <v>814</v>
      </c>
      <c r="B824" s="39" t="s">
        <v>2976</v>
      </c>
    </row>
    <row r="825" spans="1:2" ht="15.75">
      <c r="A825" s="121" t="s">
        <v>815</v>
      </c>
      <c r="B825" s="39" t="s">
        <v>3041</v>
      </c>
    </row>
    <row r="826" spans="1:2" ht="15.75">
      <c r="A826" s="121" t="s">
        <v>814</v>
      </c>
      <c r="B826" s="39" t="s">
        <v>3179</v>
      </c>
    </row>
    <row r="827" spans="1:2" ht="15.75">
      <c r="A827" s="121" t="s">
        <v>814</v>
      </c>
      <c r="B827" s="39" t="s">
        <v>3180</v>
      </c>
    </row>
    <row r="828" spans="1:2" ht="15.75">
      <c r="A828" s="121" t="s">
        <v>815</v>
      </c>
      <c r="B828" s="39" t="s">
        <v>3210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2033</v>
      </c>
      <c r="B831" s="39"/>
    </row>
    <row r="832" spans="1:2" ht="15.75">
      <c r="A832" s="121" t="s">
        <v>816</v>
      </c>
      <c r="B832" s="39" t="s">
        <v>2903</v>
      </c>
    </row>
    <row r="833" spans="1:2" ht="15.75">
      <c r="A833" s="121" t="s">
        <v>815</v>
      </c>
      <c r="B833" s="39" t="s">
        <v>2913</v>
      </c>
    </row>
    <row r="834" spans="1:2" ht="15.75">
      <c r="A834" s="121" t="s">
        <v>814</v>
      </c>
      <c r="B834" s="39" t="s">
        <v>2943</v>
      </c>
    </row>
    <row r="835" spans="1:2" ht="15.75">
      <c r="A835" s="121" t="s">
        <v>815</v>
      </c>
      <c r="B835" s="39" t="s">
        <v>2953</v>
      </c>
    </row>
    <row r="836" spans="1:2" ht="15.75">
      <c r="A836" s="121" t="s">
        <v>815</v>
      </c>
      <c r="B836" s="39" t="s">
        <v>2959</v>
      </c>
    </row>
    <row r="837" spans="1:2" ht="15.75">
      <c r="A837" s="121" t="s">
        <v>815</v>
      </c>
      <c r="B837" s="39" t="s">
        <v>2984</v>
      </c>
    </row>
    <row r="838" spans="1:2" ht="15.75">
      <c r="A838" s="121" t="s">
        <v>814</v>
      </c>
      <c r="B838" s="39" t="s">
        <v>2988</v>
      </c>
    </row>
    <row r="839" spans="1:2" ht="15.75">
      <c r="A839" s="121" t="s">
        <v>814</v>
      </c>
      <c r="B839" s="39" t="s">
        <v>2989</v>
      </c>
    </row>
    <row r="840" spans="1:2" ht="15.75">
      <c r="A840" s="121" t="s">
        <v>816</v>
      </c>
      <c r="B840" s="39" t="s">
        <v>2994</v>
      </c>
    </row>
    <row r="841" spans="1:2" ht="15.75">
      <c r="A841" s="121"/>
      <c r="B841" s="39"/>
    </row>
    <row r="842" spans="1:2" ht="23.25">
      <c r="A842" s="120" t="s">
        <v>2006</v>
      </c>
      <c r="B842" s="39"/>
    </row>
    <row r="843" spans="1:2" ht="15.75">
      <c r="A843" s="121" t="s">
        <v>815</v>
      </c>
      <c r="B843" s="39" t="s">
        <v>2986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2891</v>
      </c>
    </row>
    <row r="848" spans="1:2" ht="15.75">
      <c r="A848" s="121" t="s">
        <v>816</v>
      </c>
      <c r="B848" s="39" t="s">
        <v>2906</v>
      </c>
    </row>
    <row r="849" spans="1:2" ht="15.75">
      <c r="A849" s="121" t="s">
        <v>816</v>
      </c>
      <c r="B849" s="39" t="s">
        <v>2935</v>
      </c>
    </row>
    <row r="850" spans="1:2" ht="15.75">
      <c r="A850" s="121" t="s">
        <v>814</v>
      </c>
      <c r="B850" s="39" t="s">
        <v>2956</v>
      </c>
    </row>
    <row r="851" spans="1:2" ht="15.75">
      <c r="A851" s="121" t="s">
        <v>816</v>
      </c>
      <c r="B851" s="39" t="s">
        <v>3021</v>
      </c>
    </row>
    <row r="852" spans="1:2" ht="15.75">
      <c r="A852" s="121" t="s">
        <v>814</v>
      </c>
      <c r="B852" s="39" t="s">
        <v>3038</v>
      </c>
    </row>
    <row r="853" spans="1:2" ht="15.75">
      <c r="A853" s="121" t="s">
        <v>814</v>
      </c>
      <c r="B853" s="39" t="s">
        <v>3040</v>
      </c>
    </row>
    <row r="854" spans="1:2" ht="15.75">
      <c r="A854" s="121" t="s">
        <v>815</v>
      </c>
      <c r="B854" s="39" t="s">
        <v>3048</v>
      </c>
    </row>
    <row r="855" spans="1:2" ht="15.75">
      <c r="A855" s="121" t="s">
        <v>814</v>
      </c>
      <c r="B855" s="39" t="s">
        <v>3071</v>
      </c>
    </row>
    <row r="856" spans="1:2" ht="15.75">
      <c r="A856" s="121" t="s">
        <v>816</v>
      </c>
      <c r="B856" s="39" t="s">
        <v>3181</v>
      </c>
    </row>
    <row r="857" spans="1:2" ht="15.75">
      <c r="A857" s="121" t="s">
        <v>815</v>
      </c>
      <c r="B857" s="39" t="s">
        <v>3213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2889</v>
      </c>
    </row>
    <row r="862" spans="1:2" ht="15.75">
      <c r="A862" s="121" t="s">
        <v>814</v>
      </c>
      <c r="B862" s="39" t="s">
        <v>2907</v>
      </c>
    </row>
    <row r="863" spans="1:2" ht="15.75">
      <c r="A863" s="121" t="s">
        <v>815</v>
      </c>
      <c r="B863" s="39" t="s">
        <v>2917</v>
      </c>
    </row>
    <row r="864" spans="1:2" ht="15.75">
      <c r="A864" s="121" t="s">
        <v>816</v>
      </c>
      <c r="B864" s="39" t="s">
        <v>2918</v>
      </c>
    </row>
    <row r="865" spans="1:2" ht="15.75">
      <c r="A865" s="121" t="s">
        <v>815</v>
      </c>
      <c r="B865" s="39" t="s">
        <v>2935</v>
      </c>
    </row>
    <row r="866" spans="1:2" ht="15.75">
      <c r="A866" s="121" t="s">
        <v>816</v>
      </c>
      <c r="B866" s="39" t="s">
        <v>2967</v>
      </c>
    </row>
    <row r="867" spans="1:2" ht="15.75">
      <c r="A867" s="121" t="s">
        <v>814</v>
      </c>
      <c r="B867" s="39" t="s">
        <v>2977</v>
      </c>
    </row>
    <row r="868" spans="1:2" ht="15.75">
      <c r="A868" s="121" t="s">
        <v>814</v>
      </c>
      <c r="B868" s="39" t="s">
        <v>3000</v>
      </c>
    </row>
    <row r="869" spans="1:2" ht="15.75">
      <c r="A869" s="121" t="s">
        <v>814</v>
      </c>
      <c r="B869" s="39" t="s">
        <v>3003</v>
      </c>
    </row>
    <row r="870" spans="1:2" ht="15.75">
      <c r="A870" s="121" t="s">
        <v>816</v>
      </c>
      <c r="B870" s="39" t="s">
        <v>3004</v>
      </c>
    </row>
    <row r="871" spans="1:2" ht="15.75">
      <c r="A871" s="121" t="s">
        <v>814</v>
      </c>
      <c r="B871" s="39" t="s">
        <v>3013</v>
      </c>
    </row>
    <row r="872" spans="1:2" ht="15.75">
      <c r="A872" s="121" t="s">
        <v>814</v>
      </c>
      <c r="B872" s="39" t="s">
        <v>3015</v>
      </c>
    </row>
    <row r="873" spans="1:2" ht="15.75">
      <c r="A873" s="121" t="s">
        <v>814</v>
      </c>
      <c r="B873" s="39" t="s">
        <v>3028</v>
      </c>
    </row>
    <row r="874" spans="1:2" ht="15.75">
      <c r="A874" s="121" t="s">
        <v>814</v>
      </c>
      <c r="B874" s="39" t="s">
        <v>3032</v>
      </c>
    </row>
    <row r="875" spans="1:2" ht="15.75">
      <c r="A875" s="121" t="s">
        <v>815</v>
      </c>
      <c r="B875" s="39" t="s">
        <v>3058</v>
      </c>
    </row>
    <row r="876" spans="1:2" ht="15.75">
      <c r="A876" s="121" t="s">
        <v>815</v>
      </c>
      <c r="B876" s="39" t="s">
        <v>3063</v>
      </c>
    </row>
    <row r="877" spans="1:2" ht="15.75">
      <c r="A877" s="121" t="s">
        <v>816</v>
      </c>
      <c r="B877" s="39" t="s">
        <v>3068</v>
      </c>
    </row>
    <row r="878" spans="1:2" ht="15.75">
      <c r="A878" s="121" t="s">
        <v>815</v>
      </c>
      <c r="B878" s="39" t="s">
        <v>3074</v>
      </c>
    </row>
    <row r="879" spans="1:2" ht="15.75">
      <c r="A879" s="121" t="s">
        <v>814</v>
      </c>
      <c r="B879" s="39" t="s">
        <v>3077</v>
      </c>
    </row>
    <row r="880" spans="1:2" ht="15.75">
      <c r="A880" s="121" t="s">
        <v>815</v>
      </c>
      <c r="B880" s="39" t="s">
        <v>3078</v>
      </c>
    </row>
    <row r="881" spans="1:2" ht="15.75">
      <c r="A881" s="121" t="s">
        <v>815</v>
      </c>
      <c r="B881" s="39" t="s">
        <v>3085</v>
      </c>
    </row>
    <row r="882" spans="1:2" ht="15.75">
      <c r="A882" s="121" t="s">
        <v>814</v>
      </c>
      <c r="B882" s="39" t="s">
        <v>3204</v>
      </c>
    </row>
    <row r="883" spans="1:2" ht="15.75">
      <c r="A883" s="121" t="s">
        <v>814</v>
      </c>
      <c r="B883" s="39" t="s">
        <v>3219</v>
      </c>
    </row>
    <row r="884" spans="1:2" ht="15.75">
      <c r="A884" s="121" t="s">
        <v>816</v>
      </c>
      <c r="B884" s="39" t="s">
        <v>3220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2905</v>
      </c>
    </row>
    <row r="889" spans="1:2" ht="15.75">
      <c r="A889" s="121" t="s">
        <v>814</v>
      </c>
      <c r="B889" s="39" t="s">
        <v>2936</v>
      </c>
    </row>
    <row r="890" spans="1:2" ht="15.75">
      <c r="A890" s="121" t="s">
        <v>816</v>
      </c>
      <c r="B890" s="39" t="s">
        <v>2941</v>
      </c>
    </row>
    <row r="891" spans="1:2" ht="15.75">
      <c r="A891" s="121" t="s">
        <v>816</v>
      </c>
      <c r="B891" s="39" t="s">
        <v>2970</v>
      </c>
    </row>
    <row r="892" spans="1:2" ht="15.75">
      <c r="A892" s="121" t="s">
        <v>814</v>
      </c>
      <c r="B892" s="39" t="s">
        <v>2984</v>
      </c>
    </row>
    <row r="893" spans="1:2" ht="15.75">
      <c r="A893" s="121" t="s">
        <v>815</v>
      </c>
      <c r="B893" s="39" t="s">
        <v>2996</v>
      </c>
    </row>
    <row r="894" spans="1:2" ht="15.75">
      <c r="A894" s="121" t="s">
        <v>815</v>
      </c>
      <c r="B894" s="39" t="s">
        <v>2999</v>
      </c>
    </row>
    <row r="895" spans="1:2" ht="15.75">
      <c r="A895" s="121" t="s">
        <v>815</v>
      </c>
      <c r="B895" s="39" t="s">
        <v>3017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2964</v>
      </c>
    </row>
    <row r="900" spans="1:8" ht="15.75">
      <c r="A900" s="121" t="s">
        <v>816</v>
      </c>
      <c r="B900" s="39" t="s">
        <v>2996</v>
      </c>
    </row>
    <row r="901" spans="1:8" ht="15.75">
      <c r="A901" s="121" t="s">
        <v>816</v>
      </c>
      <c r="B901" s="39" t="s">
        <v>3056</v>
      </c>
    </row>
    <row r="902" spans="1:8" ht="15.75">
      <c r="A902" s="121" t="s">
        <v>815</v>
      </c>
      <c r="B902" s="39" t="s">
        <v>3104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2890</v>
      </c>
    </row>
    <row r="907" spans="1:8" ht="15.75">
      <c r="A907" s="121" t="s">
        <v>814</v>
      </c>
      <c r="B907" s="39" t="s">
        <v>2915</v>
      </c>
    </row>
    <row r="908" spans="1:8" ht="15.75">
      <c r="A908" s="121" t="s">
        <v>815</v>
      </c>
      <c r="B908" s="39" t="s">
        <v>2933</v>
      </c>
      <c r="G908" s="121"/>
      <c r="H908" s="39"/>
    </row>
    <row r="909" spans="1:8" ht="15.75">
      <c r="A909" s="121" t="s">
        <v>816</v>
      </c>
      <c r="B909" s="39" t="s">
        <v>2961</v>
      </c>
    </row>
    <row r="910" spans="1:8" ht="15.75">
      <c r="A910" s="121" t="s">
        <v>815</v>
      </c>
      <c r="B910" s="39" t="s">
        <v>3037</v>
      </c>
    </row>
    <row r="911" spans="1:8" ht="15.75">
      <c r="A911" s="121" t="s">
        <v>815</v>
      </c>
      <c r="B911" s="39" t="s">
        <v>3088</v>
      </c>
    </row>
    <row r="912" spans="1:8" ht="15.75">
      <c r="A912" s="121" t="s">
        <v>814</v>
      </c>
      <c r="B912" s="39" t="s">
        <v>3177</v>
      </c>
    </row>
    <row r="913" spans="1:2" ht="15.75">
      <c r="A913" s="121" t="s">
        <v>816</v>
      </c>
      <c r="B913" s="39" t="s">
        <v>3178</v>
      </c>
    </row>
    <row r="914" spans="1:2" ht="15.75">
      <c r="A914" s="121" t="s">
        <v>814</v>
      </c>
      <c r="B914" s="39" t="s">
        <v>3211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2914</v>
      </c>
    </row>
    <row r="919" spans="1:2" ht="15.75">
      <c r="A919" s="121" t="s">
        <v>815</v>
      </c>
      <c r="B919" s="39" t="s">
        <v>2976</v>
      </c>
    </row>
    <row r="920" spans="1:2" ht="15.75">
      <c r="A920" s="121" t="s">
        <v>816</v>
      </c>
      <c r="B920" s="39" t="s">
        <v>2989</v>
      </c>
    </row>
    <row r="921" spans="1:2" ht="15.75">
      <c r="A921" s="121" t="s">
        <v>816</v>
      </c>
      <c r="B921" s="39" t="s">
        <v>2991</v>
      </c>
    </row>
    <row r="922" spans="1:2" ht="15.75">
      <c r="A922" s="121" t="s">
        <v>815</v>
      </c>
      <c r="B922" s="39" t="s">
        <v>2995</v>
      </c>
    </row>
    <row r="923" spans="1:2" ht="15.75">
      <c r="A923" s="121" t="s">
        <v>816</v>
      </c>
      <c r="B923" s="39" t="s">
        <v>3050</v>
      </c>
    </row>
    <row r="924" spans="1:2" ht="15.75">
      <c r="A924" s="121" t="s">
        <v>816</v>
      </c>
      <c r="B924" s="39" t="s">
        <v>3059</v>
      </c>
    </row>
    <row r="925" spans="1:2" ht="15.75">
      <c r="A925" s="121" t="s">
        <v>814</v>
      </c>
      <c r="B925" s="39" t="s">
        <v>3076</v>
      </c>
    </row>
    <row r="926" spans="1:2" ht="15.75">
      <c r="A926" s="121" t="s">
        <v>814</v>
      </c>
      <c r="B926" s="39" t="s">
        <v>3183</v>
      </c>
    </row>
    <row r="927" spans="1:2" ht="15.75">
      <c r="A927" s="121" t="s">
        <v>815</v>
      </c>
      <c r="B927" s="39" t="s">
        <v>3190</v>
      </c>
    </row>
    <row r="928" spans="1:2" ht="15.75">
      <c r="A928" s="121" t="s">
        <v>816</v>
      </c>
      <c r="B928" s="39" t="s">
        <v>3195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2940</v>
      </c>
    </row>
    <row r="933" spans="1:2" ht="15.75">
      <c r="A933" s="121" t="s">
        <v>815</v>
      </c>
      <c r="B933" s="39" t="s">
        <v>2997</v>
      </c>
    </row>
    <row r="934" spans="1:2" ht="15.75">
      <c r="A934" s="121" t="s">
        <v>816</v>
      </c>
      <c r="B934" s="39" t="s">
        <v>3001</v>
      </c>
    </row>
    <row r="935" spans="1:2" ht="15.75">
      <c r="A935" s="121" t="s">
        <v>815</v>
      </c>
      <c r="B935" s="39" t="s">
        <v>3025</v>
      </c>
    </row>
    <row r="936" spans="1:2" ht="15.75">
      <c r="A936" s="121" t="s">
        <v>816</v>
      </c>
      <c r="B936" s="39" t="s">
        <v>3027</v>
      </c>
    </row>
    <row r="937" spans="1:2" ht="15.75">
      <c r="A937" s="121" t="s">
        <v>815</v>
      </c>
      <c r="B937" s="39" t="s">
        <v>3035</v>
      </c>
    </row>
    <row r="938" spans="1:2" ht="15.75">
      <c r="A938" s="121" t="s">
        <v>816</v>
      </c>
      <c r="B938" s="39" t="s">
        <v>3036</v>
      </c>
    </row>
    <row r="939" spans="1:2" ht="15.75">
      <c r="A939" s="121" t="s">
        <v>814</v>
      </c>
      <c r="B939" s="39" t="s">
        <v>3187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2895</v>
      </c>
    </row>
    <row r="944" spans="1:2" s="39" customFormat="1" ht="15.75">
      <c r="A944" s="121" t="s">
        <v>815</v>
      </c>
      <c r="B944" s="39" t="s">
        <v>2916</v>
      </c>
    </row>
    <row r="945" spans="1:2" s="39" customFormat="1" ht="15.75">
      <c r="A945" s="121" t="s">
        <v>816</v>
      </c>
      <c r="B945" s="39" t="s">
        <v>2919</v>
      </c>
    </row>
    <row r="946" spans="1:2" s="39" customFormat="1" ht="15.75">
      <c r="A946" s="121" t="s">
        <v>814</v>
      </c>
      <c r="B946" s="39" t="s">
        <v>2927</v>
      </c>
    </row>
    <row r="947" spans="1:2" s="39" customFormat="1" ht="15.75">
      <c r="A947" s="121" t="s">
        <v>814</v>
      </c>
      <c r="B947" s="39" t="s">
        <v>2968</v>
      </c>
    </row>
    <row r="948" spans="1:2" s="39" customFormat="1" ht="15.75">
      <c r="A948" s="121" t="s">
        <v>816</v>
      </c>
      <c r="B948" s="39" t="s">
        <v>3015</v>
      </c>
    </row>
    <row r="949" spans="1:2" s="39" customFormat="1" ht="15.75">
      <c r="A949" s="121" t="s">
        <v>814</v>
      </c>
      <c r="B949" s="39" t="s">
        <v>3074</v>
      </c>
    </row>
    <row r="950" spans="1:2" s="39" customFormat="1" ht="15.75">
      <c r="A950" s="121" t="s">
        <v>816</v>
      </c>
      <c r="B950" s="39" t="s">
        <v>3077</v>
      </c>
    </row>
    <row r="951" spans="1:2" s="39" customFormat="1" ht="15.75">
      <c r="A951" s="121" t="s">
        <v>815</v>
      </c>
      <c r="B951" s="39" t="s">
        <v>3084</v>
      </c>
    </row>
    <row r="952" spans="1:2" s="39" customFormat="1" ht="15.75">
      <c r="A952" s="121" t="s">
        <v>816</v>
      </c>
      <c r="B952" s="39" t="s">
        <v>3088</v>
      </c>
    </row>
    <row r="953" spans="1:2" s="39" customFormat="1" ht="15.75">
      <c r="A953" s="121" t="s">
        <v>815</v>
      </c>
      <c r="B953" s="39" t="s">
        <v>3177</v>
      </c>
    </row>
    <row r="954" spans="1:2" s="39" customFormat="1" ht="15.75">
      <c r="A954" s="121" t="s">
        <v>814</v>
      </c>
      <c r="B954" s="39" t="s">
        <v>3178</v>
      </c>
    </row>
    <row r="955" spans="1:2" s="39" customFormat="1" ht="15.75">
      <c r="A955" s="121" t="s">
        <v>815</v>
      </c>
      <c r="B955" s="39" t="s">
        <v>3186</v>
      </c>
    </row>
    <row r="956" spans="1:2" s="39" customFormat="1" ht="15.75">
      <c r="A956" s="121" t="s">
        <v>814</v>
      </c>
      <c r="B956" s="39" t="s">
        <v>3188</v>
      </c>
    </row>
    <row r="957" spans="1:2" s="39" customFormat="1" ht="15.75">
      <c r="A957" s="121" t="s">
        <v>815</v>
      </c>
      <c r="B957" s="39" t="s">
        <v>3196</v>
      </c>
    </row>
    <row r="958" spans="1:2" s="39" customFormat="1" ht="15.75">
      <c r="A958" s="121" t="s">
        <v>815</v>
      </c>
      <c r="B958" s="39" t="s">
        <v>3204</v>
      </c>
    </row>
    <row r="959" spans="1:2" s="39" customFormat="1" ht="15.75">
      <c r="A959" s="121" t="s">
        <v>814</v>
      </c>
      <c r="B959" s="39" t="s">
        <v>3207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2944</v>
      </c>
    </row>
    <row r="964" spans="1:2" ht="15.75">
      <c r="A964" s="121" t="s">
        <v>814</v>
      </c>
      <c r="B964" s="39" t="s">
        <v>2990</v>
      </c>
    </row>
    <row r="965" spans="1:2" ht="15.75">
      <c r="A965" s="121" t="s">
        <v>815</v>
      </c>
      <c r="B965" s="39" t="s">
        <v>2998</v>
      </c>
    </row>
    <row r="966" spans="1:2" ht="15.75">
      <c r="A966" s="121" t="s">
        <v>816</v>
      </c>
      <c r="B966" s="39" t="s">
        <v>3039</v>
      </c>
    </row>
    <row r="967" spans="1:2" ht="15.75">
      <c r="A967" s="121" t="s">
        <v>815</v>
      </c>
      <c r="B967" s="39" t="s">
        <v>3082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2034</v>
      </c>
      <c r="B970" s="39"/>
    </row>
    <row r="971" spans="1:2" ht="15.75">
      <c r="A971" s="121" t="s">
        <v>814</v>
      </c>
      <c r="B971" s="39" t="s">
        <v>2908</v>
      </c>
    </row>
    <row r="972" spans="1:2" ht="15.75">
      <c r="A972" s="121" t="s">
        <v>816</v>
      </c>
      <c r="B972" s="39" t="s">
        <v>2934</v>
      </c>
    </row>
    <row r="973" spans="1:2" ht="15.75">
      <c r="A973" s="121" t="s">
        <v>816</v>
      </c>
      <c r="B973" s="39" t="s">
        <v>3208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2900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2920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2958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3056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2893</v>
      </c>
    </row>
    <row r="985" spans="1:6" s="39" customFormat="1" ht="15.75">
      <c r="A985" s="121" t="s">
        <v>814</v>
      </c>
      <c r="B985" s="39" t="s">
        <v>2900</v>
      </c>
    </row>
    <row r="986" spans="1:6" s="39" customFormat="1" ht="15.75">
      <c r="A986" s="121" t="s">
        <v>816</v>
      </c>
      <c r="B986" s="39" t="s">
        <v>2917</v>
      </c>
    </row>
    <row r="987" spans="1:6" s="39" customFormat="1" ht="15.75">
      <c r="A987" s="121" t="s">
        <v>815</v>
      </c>
      <c r="B987" s="39" t="s">
        <v>2919</v>
      </c>
    </row>
    <row r="988" spans="1:6" s="39" customFormat="1" ht="15.75">
      <c r="A988" s="121" t="s">
        <v>816</v>
      </c>
      <c r="B988" s="39" t="s">
        <v>2921</v>
      </c>
    </row>
    <row r="989" spans="1:6" s="39" customFormat="1" ht="15.75">
      <c r="A989" s="121" t="s">
        <v>816</v>
      </c>
      <c r="B989" s="39" t="s">
        <v>3005</v>
      </c>
    </row>
    <row r="990" spans="1:6" s="39" customFormat="1" ht="15.75">
      <c r="A990" s="121" t="s">
        <v>816</v>
      </c>
      <c r="B990" s="39" t="s">
        <v>3106</v>
      </c>
    </row>
    <row r="991" spans="1:6" s="39" customFormat="1" ht="15.75">
      <c r="A991" s="121" t="s">
        <v>816</v>
      </c>
      <c r="B991" s="39" t="s">
        <v>3132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2892</v>
      </c>
    </row>
    <row r="996" spans="1:2" s="39" customFormat="1" ht="15.75">
      <c r="A996" s="121" t="s">
        <v>816</v>
      </c>
      <c r="B996" s="39" t="s">
        <v>2972</v>
      </c>
    </row>
    <row r="997" spans="1:2" s="39" customFormat="1" ht="15.75">
      <c r="A997" s="121" t="s">
        <v>816</v>
      </c>
      <c r="B997" s="39" t="s">
        <v>2973</v>
      </c>
    </row>
    <row r="998" spans="1:2" s="39" customFormat="1" ht="15.75">
      <c r="A998" s="121" t="s">
        <v>814</v>
      </c>
      <c r="B998" s="39" t="s">
        <v>3042</v>
      </c>
    </row>
    <row r="999" spans="1:2" s="39" customFormat="1" ht="15.75">
      <c r="A999" s="121" t="s">
        <v>815</v>
      </c>
      <c r="B999" s="39" t="s">
        <v>3054</v>
      </c>
    </row>
    <row r="1000" spans="1:2" s="39" customFormat="1" ht="15.75">
      <c r="A1000" s="121" t="s">
        <v>815</v>
      </c>
      <c r="B1000" s="39" t="s">
        <v>3069</v>
      </c>
    </row>
    <row r="1001" spans="1:2" s="39" customFormat="1" ht="15.75">
      <c r="A1001" s="121" t="s">
        <v>815</v>
      </c>
      <c r="B1001" s="39" t="s">
        <v>3079</v>
      </c>
    </row>
    <row r="1002" spans="1:2" s="39" customFormat="1" ht="15.75">
      <c r="A1002" s="121" t="s">
        <v>814</v>
      </c>
      <c r="B1002" s="39" t="s">
        <v>3216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2889</v>
      </c>
    </row>
    <row r="1007" spans="1:2" s="39" customFormat="1" ht="15.75">
      <c r="A1007" s="121" t="s">
        <v>815</v>
      </c>
      <c r="B1007" s="39" t="s">
        <v>2906</v>
      </c>
    </row>
    <row r="1008" spans="1:2" s="39" customFormat="1" ht="15.75">
      <c r="A1008" s="121" t="s">
        <v>816</v>
      </c>
      <c r="B1008" s="39" t="s">
        <v>2949</v>
      </c>
    </row>
    <row r="1009" spans="1:2" s="39" customFormat="1" ht="15.75">
      <c r="A1009" s="121" t="s">
        <v>816</v>
      </c>
      <c r="B1009" s="39" t="s">
        <v>2957</v>
      </c>
    </row>
    <row r="1010" spans="1:2" s="39" customFormat="1" ht="15.75">
      <c r="A1010" s="121" t="s">
        <v>814</v>
      </c>
      <c r="B1010" s="39" t="s">
        <v>2973</v>
      </c>
    </row>
    <row r="1011" spans="1:2" s="39" customFormat="1" ht="15.75">
      <c r="A1011" s="121" t="s">
        <v>814</v>
      </c>
      <c r="B1011" s="39" t="s">
        <v>2974</v>
      </c>
    </row>
    <row r="1012" spans="1:2" s="39" customFormat="1" ht="15.75">
      <c r="A1012" s="121" t="s">
        <v>816</v>
      </c>
      <c r="B1012" s="39" t="s">
        <v>2975</v>
      </c>
    </row>
    <row r="1013" spans="1:2" s="39" customFormat="1" ht="15.75">
      <c r="A1013" s="121" t="s">
        <v>815</v>
      </c>
      <c r="B1013" s="39" t="s">
        <v>2978</v>
      </c>
    </row>
    <row r="1014" spans="1:2" s="39" customFormat="1" ht="15.75">
      <c r="A1014" s="121" t="s">
        <v>815</v>
      </c>
      <c r="B1014" s="39" t="s">
        <v>2980</v>
      </c>
    </row>
    <row r="1015" spans="1:2" s="39" customFormat="1" ht="15.75">
      <c r="A1015" s="121" t="s">
        <v>815</v>
      </c>
      <c r="B1015" s="39" t="s">
        <v>2982</v>
      </c>
    </row>
    <row r="1016" spans="1:2" s="39" customFormat="1" ht="15.75">
      <c r="A1016" s="121" t="s">
        <v>816</v>
      </c>
      <c r="B1016" s="39" t="s">
        <v>2997</v>
      </c>
    </row>
    <row r="1017" spans="1:2" s="39" customFormat="1" ht="15.75">
      <c r="A1017" s="121" t="s">
        <v>816</v>
      </c>
      <c r="B1017" s="39" t="s">
        <v>3001</v>
      </c>
    </row>
    <row r="1018" spans="1:2" s="39" customFormat="1" ht="15.75">
      <c r="A1018" s="121" t="s">
        <v>815</v>
      </c>
      <c r="B1018" s="39" t="s">
        <v>3012</v>
      </c>
    </row>
    <row r="1019" spans="1:2" s="39" customFormat="1" ht="15.75">
      <c r="A1019" s="121" t="s">
        <v>816</v>
      </c>
      <c r="B1019" s="39" t="s">
        <v>3022</v>
      </c>
    </row>
    <row r="1020" spans="1:2" s="39" customFormat="1" ht="15.75">
      <c r="A1020" s="121" t="s">
        <v>814</v>
      </c>
      <c r="B1020" s="39" t="s">
        <v>3025</v>
      </c>
    </row>
    <row r="1021" spans="1:2" s="39" customFormat="1" ht="15.75">
      <c r="A1021" s="121" t="s">
        <v>816</v>
      </c>
      <c r="B1021" s="39" t="s">
        <v>3035</v>
      </c>
    </row>
    <row r="1022" spans="1:2" s="39" customFormat="1" ht="15.75">
      <c r="A1022" s="121" t="s">
        <v>815</v>
      </c>
      <c r="B1022" s="39" t="s">
        <v>3036</v>
      </c>
    </row>
    <row r="1023" spans="1:2" s="39" customFormat="1" ht="15.75">
      <c r="A1023" s="121" t="s">
        <v>815</v>
      </c>
      <c r="B1023" s="39" t="s">
        <v>3042</v>
      </c>
    </row>
    <row r="1024" spans="1:2" s="39" customFormat="1" ht="15.75">
      <c r="A1024" s="121" t="s">
        <v>814</v>
      </c>
      <c r="B1024" s="39" t="s">
        <v>3049</v>
      </c>
    </row>
    <row r="1025" spans="1:2" s="39" customFormat="1" ht="15.75">
      <c r="A1025" s="121" t="s">
        <v>815</v>
      </c>
      <c r="B1025" s="39" t="s">
        <v>3183</v>
      </c>
    </row>
    <row r="1026" spans="1:2" s="39" customFormat="1" ht="15.75">
      <c r="A1026" s="121" t="s">
        <v>815</v>
      </c>
      <c r="B1026" s="39" t="s">
        <v>3187</v>
      </c>
    </row>
    <row r="1027" spans="1:2" s="39" customFormat="1" ht="15.75">
      <c r="A1027" s="121" t="s">
        <v>814</v>
      </c>
      <c r="B1027" s="39" t="s">
        <v>3209</v>
      </c>
    </row>
    <row r="1028" spans="1:2" s="39" customFormat="1" ht="15.75">
      <c r="A1028" s="121" t="s">
        <v>816</v>
      </c>
      <c r="B1028" s="39" t="s">
        <v>3211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2012</v>
      </c>
      <c r="B1031" s="39"/>
    </row>
    <row r="1032" spans="1:2" s="39" customFormat="1" ht="15.75">
      <c r="A1032" s="121" t="s">
        <v>814</v>
      </c>
      <c r="B1032" s="39" t="s">
        <v>2904</v>
      </c>
    </row>
    <row r="1033" spans="1:2" s="39" customFormat="1" ht="15.75">
      <c r="A1033" s="121" t="s">
        <v>816</v>
      </c>
      <c r="B1033" s="39" t="s">
        <v>2935</v>
      </c>
    </row>
    <row r="1034" spans="1:2" s="39" customFormat="1" ht="15.75">
      <c r="A1034" s="121" t="s">
        <v>815</v>
      </c>
      <c r="B1034" s="39" t="s">
        <v>2979</v>
      </c>
    </row>
    <row r="1035" spans="1:2" s="39" customFormat="1" ht="15.75">
      <c r="A1035" s="121" t="s">
        <v>814</v>
      </c>
      <c r="B1035" s="39" t="s">
        <v>3001</v>
      </c>
    </row>
    <row r="1036" spans="1:2" s="39" customFormat="1" ht="15.75">
      <c r="A1036" s="121" t="s">
        <v>816</v>
      </c>
      <c r="B1036" s="39" t="s">
        <v>3023</v>
      </c>
    </row>
    <row r="1037" spans="1:2" s="39" customFormat="1" ht="15.75">
      <c r="A1037" s="121" t="s">
        <v>816</v>
      </c>
      <c r="B1037" s="39" t="s">
        <v>3028</v>
      </c>
    </row>
    <row r="1038" spans="1:2" s="39" customFormat="1" ht="15.75">
      <c r="A1038" s="121" t="s">
        <v>816</v>
      </c>
      <c r="B1038" s="39" t="s">
        <v>3044</v>
      </c>
    </row>
    <row r="1039" spans="1:2" s="39" customFormat="1" ht="15.75">
      <c r="A1039" s="121" t="s">
        <v>815</v>
      </c>
      <c r="B1039" s="39" t="s">
        <v>3203</v>
      </c>
    </row>
    <row r="1040" spans="1:2" s="39" customFormat="1" ht="15.75">
      <c r="A1040" s="121" t="s">
        <v>816</v>
      </c>
      <c r="B1040" s="39" t="s">
        <v>3217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1"/>
  <sheetViews>
    <sheetView topLeftCell="A590" workbookViewId="0">
      <pane xSplit="1" topLeftCell="B1" activePane="topRight" state="frozen"/>
      <selection pane="topRight" activeCell="F607" sqref="F607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2544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2011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2011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3385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3393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2034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2543</v>
      </c>
      <c r="Q16" t="s">
        <v>3391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2011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2022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2011</v>
      </c>
      <c r="O22" t="s">
        <v>2033</v>
      </c>
      <c r="Q22" t="s">
        <v>3403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2030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2054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2012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2010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2536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2011</v>
      </c>
      <c r="Q40" t="s">
        <v>3380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3391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3389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3391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2034</v>
      </c>
      <c r="Q47" t="s">
        <v>3407</v>
      </c>
    </row>
    <row r="50" spans="1:17" ht="20.25">
      <c r="A50" s="123" t="s">
        <v>5014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3391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2011</v>
      </c>
      <c r="Q51" t="s">
        <v>2027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3389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2014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2007</v>
      </c>
      <c r="O57" t="s">
        <v>2014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2013</v>
      </c>
      <c r="O62" t="s">
        <v>2010</v>
      </c>
      <c r="Q62" t="s">
        <v>771</v>
      </c>
    </row>
    <row r="65" spans="1:17" ht="20.25">
      <c r="A65" s="123" t="s">
        <v>5015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3383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3391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2030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3389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2006</v>
      </c>
      <c r="O75" t="s">
        <v>2033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2014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2011</v>
      </c>
    </row>
    <row r="82" spans="1:15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</row>
    <row r="85" spans="1:15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2011</v>
      </c>
    </row>
    <row r="87" spans="1:15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2057</v>
      </c>
    </row>
    <row r="90" spans="1:15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2011</v>
      </c>
    </row>
    <row r="91" spans="1:15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</row>
    <row r="92" spans="1:15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</row>
    <row r="95" spans="1:15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</row>
    <row r="100" spans="1:15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</row>
    <row r="102" spans="1:15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</row>
    <row r="105" spans="1:15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2029</v>
      </c>
    </row>
    <row r="111" spans="1:15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2011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2007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2006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2012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2012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2054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2012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2010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2022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2010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2014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2012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2033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2006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2008</v>
      </c>
      <c r="O177" t="s">
        <v>2014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2012</v>
      </c>
      <c r="O181" t="s">
        <v>2033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2033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2537</v>
      </c>
      <c r="O187" t="s">
        <v>37</v>
      </c>
    </row>
    <row r="188" spans="2:15">
      <c r="I188" s="218"/>
      <c r="M188" t="s">
        <v>2538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2035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2012</v>
      </c>
      <c r="O196" t="s">
        <v>37</v>
      </c>
    </row>
    <row r="197" spans="2:15">
      <c r="E197" t="s">
        <v>1110</v>
      </c>
      <c r="K197" s="231"/>
    </row>
    <row r="198" spans="2:15">
      <c r="O198" t="s">
        <v>2014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2012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2705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2011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2033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2012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2011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2011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2014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2010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2010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2010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2027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2012</v>
      </c>
      <c r="O258" t="s">
        <v>2015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2013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2031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2012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2539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2012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2012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2012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2015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2013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2011</v>
      </c>
      <c r="O305" t="s">
        <v>2032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2011</v>
      </c>
      <c r="O313" t="s">
        <v>2032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2011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2540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2011</v>
      </c>
      <c r="O332" t="s">
        <v>2056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2008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2011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2015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2054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2008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2011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2027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2012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2029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2012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1851</v>
      </c>
      <c r="M434" t="s">
        <v>738</v>
      </c>
      <c r="O434" t="s">
        <v>21</v>
      </c>
    </row>
    <row r="435" spans="2:15">
      <c r="I435" s="170"/>
      <c r="K435" t="s">
        <v>1852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2541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2014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2014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3157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2542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17</v>
      </c>
      <c r="G508" s="222">
        <f t="shared" si="0"/>
        <v>58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20</v>
      </c>
      <c r="G518" s="222">
        <f t="shared" si="0"/>
        <v>40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9</v>
      </c>
      <c r="F533" s="222">
        <v>7</v>
      </c>
      <c r="G533" s="222">
        <f t="shared" si="1"/>
        <v>23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7</v>
      </c>
      <c r="E536" s="222">
        <v>6</v>
      </c>
      <c r="F536" s="222">
        <v>10</v>
      </c>
      <c r="G536" s="222">
        <f t="shared" si="1"/>
        <v>23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4</v>
      </c>
      <c r="F540" s="222">
        <v>7</v>
      </c>
      <c r="G540" s="222">
        <f t="shared" si="1"/>
        <v>19</v>
      </c>
    </row>
    <row r="541" spans="1:7" s="170" customFormat="1">
      <c r="A541" s="82"/>
      <c r="B541" s="233"/>
      <c r="C541" s="218" t="s">
        <v>2011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2012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2014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2033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2010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2008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2013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2054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2006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2015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2029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2030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2007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2027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2022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2034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2032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2031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2057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2056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2028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4520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2161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3385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3393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3391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3403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3380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3389</v>
      </c>
      <c r="D606" s="222">
        <v>0</v>
      </c>
      <c r="E606" s="222">
        <v>0</v>
      </c>
      <c r="F606" s="222">
        <v>3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3383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3407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2:13">
      <c r="C609" s="82"/>
    </row>
    <row r="610" spans="2:13">
      <c r="C610" s="127" t="s">
        <v>40</v>
      </c>
      <c r="D610" s="80">
        <f>SUM(D500:D609)</f>
        <v>698</v>
      </c>
      <c r="E610" s="80">
        <f>SUM(E500:E609)</f>
        <v>704</v>
      </c>
      <c r="F610" s="80">
        <f>SUM(F500:F609)</f>
        <v>700</v>
      </c>
      <c r="G610" s="80">
        <f>SUM(G500:G609)</f>
        <v>2102</v>
      </c>
    </row>
    <row r="611" spans="2:13">
      <c r="C611" s="127"/>
      <c r="D611" s="80"/>
      <c r="E611" s="80"/>
      <c r="F611" s="80"/>
      <c r="G611" s="80"/>
    </row>
    <row r="612" spans="2:13">
      <c r="C612" s="127"/>
      <c r="D612" s="80"/>
      <c r="E612" s="80"/>
      <c r="F612" s="80"/>
      <c r="G612" s="80"/>
    </row>
    <row r="616" spans="2:13" ht="15">
      <c r="C616" s="15" t="s">
        <v>1098</v>
      </c>
      <c r="E616" s="15" t="s">
        <v>1099</v>
      </c>
      <c r="G616" s="15" t="s">
        <v>1100</v>
      </c>
      <c r="I616" s="15" t="s">
        <v>1101</v>
      </c>
      <c r="K616" s="15" t="s">
        <v>1619</v>
      </c>
      <c r="M616" s="15" t="s">
        <v>2026</v>
      </c>
    </row>
    <row r="618" spans="2:13">
      <c r="B618" s="18" t="s">
        <v>0</v>
      </c>
      <c r="C618" s="221" t="s">
        <v>27</v>
      </c>
      <c r="D618" s="18" t="s">
        <v>0</v>
      </c>
      <c r="E618" t="s">
        <v>21</v>
      </c>
      <c r="F618" s="18" t="s">
        <v>0</v>
      </c>
      <c r="G618" s="221" t="s">
        <v>9</v>
      </c>
      <c r="H618" s="18" t="s">
        <v>0</v>
      </c>
      <c r="I618" s="221" t="s">
        <v>11</v>
      </c>
      <c r="J618" s="18"/>
    </row>
    <row r="619" spans="2:13">
      <c r="B619" s="18"/>
      <c r="C619" s="111" t="s">
        <v>1080</v>
      </c>
      <c r="D619" s="18"/>
      <c r="E619" t="s">
        <v>1111</v>
      </c>
      <c r="F619" s="18"/>
      <c r="G619" s="221" t="s">
        <v>1147</v>
      </c>
      <c r="H619" s="18"/>
      <c r="I619" s="221" t="s">
        <v>1325</v>
      </c>
      <c r="J619" s="18"/>
    </row>
    <row r="620" spans="2:13">
      <c r="B620" s="18" t="s">
        <v>2</v>
      </c>
      <c r="C620" s="221" t="s">
        <v>11</v>
      </c>
      <c r="D620" s="18" t="s">
        <v>2</v>
      </c>
      <c r="E620" t="s">
        <v>178</v>
      </c>
      <c r="F620" s="18" t="s">
        <v>2</v>
      </c>
      <c r="G620" s="221" t="s">
        <v>29</v>
      </c>
      <c r="H620" s="18" t="s">
        <v>2</v>
      </c>
      <c r="I620" t="s">
        <v>153</v>
      </c>
      <c r="J620" s="18"/>
      <c r="K620" s="221"/>
    </row>
    <row r="621" spans="2:13">
      <c r="B621" s="18"/>
      <c r="C621" s="221" t="s">
        <v>1081</v>
      </c>
      <c r="D621" s="18"/>
      <c r="E621" t="s">
        <v>1112</v>
      </c>
      <c r="F621" s="18"/>
      <c r="G621" s="221" t="s">
        <v>1149</v>
      </c>
      <c r="H621" s="18"/>
      <c r="I621" s="221" t="s">
        <v>1278</v>
      </c>
      <c r="J621" s="18"/>
    </row>
    <row r="622" spans="2:13">
      <c r="B622" s="18" t="s">
        <v>3</v>
      </c>
      <c r="C622" s="221" t="s">
        <v>1</v>
      </c>
      <c r="D622" s="18" t="s">
        <v>3</v>
      </c>
      <c r="E622" t="s">
        <v>33</v>
      </c>
      <c r="F622" s="18" t="s">
        <v>3</v>
      </c>
      <c r="G622" s="221" t="s">
        <v>19</v>
      </c>
      <c r="H622" s="18" t="s">
        <v>3</v>
      </c>
      <c r="I622" s="221" t="s">
        <v>154</v>
      </c>
      <c r="J622" s="18"/>
      <c r="K622" s="221"/>
    </row>
    <row r="623" spans="2:13">
      <c r="B623" s="18"/>
      <c r="C623" s="221" t="s">
        <v>1082</v>
      </c>
      <c r="D623" s="18"/>
      <c r="E623" t="s">
        <v>1113</v>
      </c>
      <c r="F623" s="18"/>
      <c r="G623" s="221" t="s">
        <v>1148</v>
      </c>
      <c r="H623" s="18"/>
      <c r="I623" s="221" t="s">
        <v>1334</v>
      </c>
      <c r="J623" s="18"/>
    </row>
    <row r="624" spans="2:13">
      <c r="B624" s="18" t="s">
        <v>5</v>
      </c>
      <c r="C624" s="221" t="s">
        <v>9</v>
      </c>
      <c r="D624" s="18" t="s">
        <v>5</v>
      </c>
      <c r="E624" t="s">
        <v>6</v>
      </c>
      <c r="F624" s="18" t="s">
        <v>5</v>
      </c>
      <c r="G624" s="221" t="s">
        <v>153</v>
      </c>
      <c r="H624" s="18" t="s">
        <v>5</v>
      </c>
      <c r="I624" s="221" t="s">
        <v>31</v>
      </c>
      <c r="J624" s="18"/>
      <c r="K624" s="221"/>
    </row>
    <row r="625" spans="2:11">
      <c r="B625" s="18"/>
      <c r="C625" s="221" t="s">
        <v>1083</v>
      </c>
      <c r="D625" s="18"/>
      <c r="E625" t="s">
        <v>1114</v>
      </c>
      <c r="F625" s="18"/>
      <c r="G625" s="221" t="s">
        <v>1150</v>
      </c>
      <c r="H625" s="18"/>
      <c r="I625" s="221" t="s">
        <v>1326</v>
      </c>
      <c r="J625" s="18"/>
    </row>
    <row r="626" spans="2:11">
      <c r="B626" s="18" t="s">
        <v>7</v>
      </c>
      <c r="C626" s="221" t="s">
        <v>25</v>
      </c>
      <c r="D626" s="18" t="s">
        <v>7</v>
      </c>
      <c r="E626" t="s">
        <v>19</v>
      </c>
      <c r="F626" s="18" t="s">
        <v>7</v>
      </c>
      <c r="G626" s="221" t="s">
        <v>31</v>
      </c>
      <c r="H626" s="18" t="s">
        <v>7</v>
      </c>
      <c r="I626" s="221" t="s">
        <v>744</v>
      </c>
      <c r="J626" s="18"/>
      <c r="K626" s="221"/>
    </row>
    <row r="627" spans="2:11">
      <c r="B627" s="18"/>
      <c r="C627" s="221" t="s">
        <v>1084</v>
      </c>
      <c r="D627" s="18"/>
      <c r="E627" t="s">
        <v>1115</v>
      </c>
      <c r="F627" s="18"/>
      <c r="G627" s="221" t="s">
        <v>1151</v>
      </c>
      <c r="H627" s="18"/>
      <c r="I627" s="221" t="s">
        <v>1317</v>
      </c>
      <c r="J627" s="18"/>
    </row>
    <row r="628" spans="2:11">
      <c r="B628" s="18" t="s">
        <v>8</v>
      </c>
      <c r="C628" s="221" t="s">
        <v>17</v>
      </c>
      <c r="D628" s="18" t="s">
        <v>8</v>
      </c>
      <c r="E628" t="s">
        <v>11</v>
      </c>
      <c r="F628" s="18" t="s">
        <v>8</v>
      </c>
      <c r="G628" s="221" t="s">
        <v>21</v>
      </c>
      <c r="H628" s="18" t="s">
        <v>8</v>
      </c>
      <c r="I628" s="221" t="s">
        <v>143</v>
      </c>
      <c r="J628" s="18"/>
      <c r="K628" s="221"/>
    </row>
    <row r="629" spans="2:11">
      <c r="B629" s="18"/>
      <c r="C629" s="221" t="s">
        <v>1085</v>
      </c>
      <c r="D629" s="18"/>
      <c r="E629" t="s">
        <v>1116</v>
      </c>
      <c r="F629" s="18"/>
      <c r="G629" s="221" t="s">
        <v>1152</v>
      </c>
      <c r="H629" s="18"/>
      <c r="I629" s="221" t="s">
        <v>1330</v>
      </c>
      <c r="J629" s="18"/>
    </row>
    <row r="630" spans="2:11">
      <c r="B630" s="18" t="s">
        <v>10</v>
      </c>
      <c r="C630" s="221" t="s">
        <v>15</v>
      </c>
      <c r="D630" s="18" t="s">
        <v>10</v>
      </c>
      <c r="E630" t="s">
        <v>4</v>
      </c>
      <c r="F630" s="18" t="s">
        <v>10</v>
      </c>
      <c r="G630" s="221" t="s">
        <v>154</v>
      </c>
      <c r="H630" s="18" t="s">
        <v>10</v>
      </c>
      <c r="I630" t="s">
        <v>33</v>
      </c>
      <c r="J630" s="18"/>
      <c r="K630" s="221"/>
    </row>
    <row r="631" spans="2:11">
      <c r="B631" s="18"/>
      <c r="C631" s="221" t="s">
        <v>1086</v>
      </c>
      <c r="D631" s="18"/>
      <c r="E631" t="s">
        <v>1117</v>
      </c>
      <c r="F631" s="18"/>
      <c r="G631" s="221" t="s">
        <v>1153</v>
      </c>
      <c r="H631" s="18"/>
      <c r="I631" s="221" t="s">
        <v>1253</v>
      </c>
      <c r="J631" s="18"/>
    </row>
    <row r="632" spans="2:11">
      <c r="B632" s="18" t="s">
        <v>12</v>
      </c>
      <c r="C632" s="221" t="s">
        <v>31</v>
      </c>
      <c r="D632" s="18" t="s">
        <v>12</v>
      </c>
      <c r="E632" t="s">
        <v>144</v>
      </c>
      <c r="F632" s="18" t="s">
        <v>12</v>
      </c>
      <c r="G632" s="221" t="s">
        <v>11</v>
      </c>
      <c r="H632" s="18" t="s">
        <v>12</v>
      </c>
      <c r="I632" s="221" t="s">
        <v>17</v>
      </c>
      <c r="J632" s="18"/>
      <c r="K632" s="221"/>
    </row>
    <row r="633" spans="2:11">
      <c r="B633" s="18"/>
      <c r="C633" s="221" t="s">
        <v>1105</v>
      </c>
      <c r="D633" s="18"/>
      <c r="E633" t="s">
        <v>1118</v>
      </c>
      <c r="F633" s="18"/>
      <c r="G633" s="221" t="s">
        <v>1154</v>
      </c>
      <c r="H633" s="18"/>
      <c r="I633" s="221" t="s">
        <v>1333</v>
      </c>
      <c r="J633" s="18"/>
    </row>
    <row r="634" spans="2:11">
      <c r="B634" s="18" t="s">
        <v>14</v>
      </c>
      <c r="C634" s="221" t="s">
        <v>23</v>
      </c>
      <c r="D634" s="18" t="s">
        <v>14</v>
      </c>
      <c r="E634" t="s">
        <v>143</v>
      </c>
      <c r="F634" s="18" t="s">
        <v>14</v>
      </c>
      <c r="G634" s="221" t="s">
        <v>143</v>
      </c>
      <c r="H634" s="18" t="s">
        <v>14</v>
      </c>
      <c r="I634" s="221" t="s">
        <v>762</v>
      </c>
      <c r="J634" s="18"/>
    </row>
    <row r="635" spans="2:11">
      <c r="B635" s="18"/>
      <c r="C635" s="221" t="s">
        <v>1087</v>
      </c>
      <c r="D635" s="18"/>
      <c r="E635" t="s">
        <v>1119</v>
      </c>
      <c r="F635" s="18"/>
      <c r="G635" s="221" t="s">
        <v>1155</v>
      </c>
      <c r="H635" s="18"/>
      <c r="I635" s="221" t="s">
        <v>1280</v>
      </c>
      <c r="J635" s="18"/>
      <c r="K635" s="221"/>
    </row>
    <row r="636" spans="2:11">
      <c r="B636" s="18" t="s">
        <v>16</v>
      </c>
      <c r="C636" s="221" t="s">
        <v>33</v>
      </c>
      <c r="D636" s="18" t="s">
        <v>16</v>
      </c>
      <c r="E636" t="s">
        <v>23</v>
      </c>
      <c r="F636" s="18" t="s">
        <v>16</v>
      </c>
      <c r="G636" s="221" t="s">
        <v>33</v>
      </c>
      <c r="H636" s="18" t="s">
        <v>16</v>
      </c>
      <c r="I636" t="s">
        <v>1</v>
      </c>
      <c r="J636" s="18"/>
      <c r="K636" s="221"/>
    </row>
    <row r="637" spans="2:11">
      <c r="B637" s="18"/>
      <c r="C637" s="221" t="s">
        <v>1088</v>
      </c>
      <c r="D637" s="18"/>
      <c r="E637" t="s">
        <v>1120</v>
      </c>
      <c r="F637" s="18"/>
      <c r="G637" s="221" t="s">
        <v>1156</v>
      </c>
      <c r="H637" s="18"/>
      <c r="I637" s="221" t="s">
        <v>1331</v>
      </c>
      <c r="J637" s="18"/>
    </row>
    <row r="638" spans="2:11">
      <c r="B638" s="18" t="s">
        <v>18</v>
      </c>
      <c r="C638" s="221" t="s">
        <v>178</v>
      </c>
      <c r="D638" s="18" t="s">
        <v>18</v>
      </c>
      <c r="E638" t="s">
        <v>141</v>
      </c>
      <c r="F638" s="18" t="s">
        <v>18</v>
      </c>
      <c r="G638" s="221" t="s">
        <v>25</v>
      </c>
      <c r="H638" s="18" t="s">
        <v>18</v>
      </c>
      <c r="I638" s="221" t="s">
        <v>778</v>
      </c>
      <c r="J638" s="18"/>
      <c r="K638" s="221"/>
    </row>
    <row r="639" spans="2:11">
      <c r="B639" s="18"/>
      <c r="C639" s="221" t="s">
        <v>1089</v>
      </c>
      <c r="D639" s="18"/>
      <c r="E639" t="s">
        <v>1121</v>
      </c>
      <c r="F639" s="18"/>
      <c r="G639" s="221" t="s">
        <v>1157</v>
      </c>
      <c r="H639" s="18"/>
      <c r="I639" s="221" t="s">
        <v>1318</v>
      </c>
      <c r="J639" s="18"/>
    </row>
    <row r="640" spans="2:11">
      <c r="B640" s="18" t="s">
        <v>20</v>
      </c>
      <c r="C640" s="221" t="s">
        <v>6</v>
      </c>
      <c r="D640" s="18" t="s">
        <v>20</v>
      </c>
      <c r="E640" t="s">
        <v>31</v>
      </c>
      <c r="F640" s="18" t="s">
        <v>20</v>
      </c>
      <c r="G640" s="221" t="s">
        <v>141</v>
      </c>
      <c r="H640" s="18" t="s">
        <v>20</v>
      </c>
      <c r="I640" s="221" t="s">
        <v>790</v>
      </c>
      <c r="J640" s="18"/>
      <c r="K640" s="221"/>
    </row>
    <row r="641" spans="2:11">
      <c r="B641" s="18"/>
      <c r="C641" s="221" t="s">
        <v>1090</v>
      </c>
      <c r="D641" s="18"/>
      <c r="E641" t="s">
        <v>1122</v>
      </c>
      <c r="F641" s="18"/>
      <c r="G641" s="221" t="s">
        <v>1158</v>
      </c>
      <c r="H641" s="18"/>
      <c r="I641" s="221" t="s">
        <v>1339</v>
      </c>
      <c r="J641" s="18"/>
    </row>
    <row r="642" spans="2:11">
      <c r="B642" s="18" t="s">
        <v>22</v>
      </c>
      <c r="C642" s="221" t="s">
        <v>4</v>
      </c>
      <c r="D642" s="18" t="s">
        <v>22</v>
      </c>
      <c r="E642" t="s">
        <v>9</v>
      </c>
      <c r="F642" s="18" t="s">
        <v>22</v>
      </c>
      <c r="G642" s="221" t="s">
        <v>27</v>
      </c>
      <c r="H642" s="18" t="s">
        <v>22</v>
      </c>
      <c r="I642" s="221" t="s">
        <v>141</v>
      </c>
      <c r="J642" s="18"/>
      <c r="K642" s="221"/>
    </row>
    <row r="643" spans="2:11">
      <c r="B643" s="18"/>
      <c r="C643" s="221" t="s">
        <v>1091</v>
      </c>
      <c r="D643" s="18"/>
      <c r="E643" t="s">
        <v>1123</v>
      </c>
      <c r="F643" s="18"/>
      <c r="G643" s="221" t="s">
        <v>1159</v>
      </c>
      <c r="H643" s="18"/>
      <c r="I643" s="221" t="s">
        <v>1332</v>
      </c>
      <c r="J643" s="18"/>
    </row>
    <row r="644" spans="2:11">
      <c r="B644" s="18" t="s">
        <v>24</v>
      </c>
      <c r="C644" s="221" t="s">
        <v>35</v>
      </c>
      <c r="D644" s="18" t="s">
        <v>24</v>
      </c>
      <c r="E644" t="s">
        <v>13</v>
      </c>
      <c r="F644" s="18" t="s">
        <v>24</v>
      </c>
      <c r="G644" s="221" t="s">
        <v>156</v>
      </c>
      <c r="H644" s="18" t="s">
        <v>24</v>
      </c>
      <c r="I644" s="221" t="s">
        <v>734</v>
      </c>
      <c r="J644" s="18"/>
    </row>
    <row r="645" spans="2:11">
      <c r="B645" s="18"/>
      <c r="C645" s="221" t="s">
        <v>1092</v>
      </c>
      <c r="D645" s="18"/>
      <c r="E645" t="s">
        <v>1124</v>
      </c>
      <c r="F645" s="18"/>
      <c r="G645" s="221" t="s">
        <v>1160</v>
      </c>
      <c r="H645" s="18"/>
      <c r="I645" s="221" t="s">
        <v>1340</v>
      </c>
      <c r="J645" s="18"/>
      <c r="K645" s="221"/>
    </row>
    <row r="646" spans="2:11">
      <c r="B646" s="18" t="s">
        <v>26</v>
      </c>
      <c r="C646" s="221" t="s">
        <v>29</v>
      </c>
      <c r="D646" s="18" t="s">
        <v>26</v>
      </c>
      <c r="E646" t="s">
        <v>29</v>
      </c>
      <c r="F646" s="18" t="s">
        <v>26</v>
      </c>
      <c r="G646" s="221" t="s">
        <v>142</v>
      </c>
      <c r="H646" s="18" t="s">
        <v>26</v>
      </c>
      <c r="I646" s="221" t="s">
        <v>796</v>
      </c>
      <c r="J646" s="18"/>
      <c r="K646" s="221"/>
    </row>
    <row r="647" spans="2:11">
      <c r="B647" s="18"/>
      <c r="C647" s="221" t="s">
        <v>1093</v>
      </c>
      <c r="D647" s="18"/>
      <c r="E647" t="s">
        <v>1125</v>
      </c>
      <c r="F647" s="18"/>
      <c r="G647" s="221" t="s">
        <v>1161</v>
      </c>
      <c r="H647" s="18"/>
      <c r="I647" s="221" t="s">
        <v>1094</v>
      </c>
      <c r="J647" s="18"/>
    </row>
    <row r="648" spans="2:11">
      <c r="B648" s="18" t="s">
        <v>28</v>
      </c>
      <c r="C648" s="221" t="s">
        <v>179</v>
      </c>
      <c r="D648" s="18" t="s">
        <v>28</v>
      </c>
      <c r="E648" t="s">
        <v>1</v>
      </c>
      <c r="F648" s="18" t="s">
        <v>28</v>
      </c>
      <c r="G648" s="221" t="s">
        <v>162</v>
      </c>
      <c r="H648" s="18" t="s">
        <v>28</v>
      </c>
      <c r="I648" s="221" t="s">
        <v>21</v>
      </c>
      <c r="J648" s="18"/>
      <c r="K648" s="221"/>
    </row>
    <row r="649" spans="2:11">
      <c r="B649" s="18"/>
      <c r="C649" s="221" t="s">
        <v>1094</v>
      </c>
      <c r="D649" s="18"/>
      <c r="E649" t="s">
        <v>1126</v>
      </c>
      <c r="F649" s="18"/>
      <c r="G649" s="221" t="s">
        <v>1162</v>
      </c>
      <c r="H649" s="18"/>
      <c r="I649" s="221" t="s">
        <v>1327</v>
      </c>
      <c r="J649" s="18"/>
    </row>
    <row r="650" spans="2:11">
      <c r="B650" s="18" t="s">
        <v>30</v>
      </c>
      <c r="C650" s="221" t="s">
        <v>37</v>
      </c>
      <c r="D650" s="18" t="s">
        <v>30</v>
      </c>
      <c r="E650" t="s">
        <v>15</v>
      </c>
      <c r="F650" s="18" t="s">
        <v>30</v>
      </c>
      <c r="G650" s="221" t="s">
        <v>37</v>
      </c>
      <c r="H650" s="18" t="s">
        <v>30</v>
      </c>
      <c r="I650" t="s">
        <v>779</v>
      </c>
      <c r="J650" s="18"/>
      <c r="K650" s="221"/>
    </row>
    <row r="651" spans="2:11">
      <c r="B651" s="18"/>
      <c r="C651" s="221" t="s">
        <v>1095</v>
      </c>
      <c r="D651" s="18"/>
      <c r="E651" t="s">
        <v>1129</v>
      </c>
      <c r="F651" s="18"/>
      <c r="G651" s="221" t="s">
        <v>1162</v>
      </c>
      <c r="H651" s="18"/>
      <c r="I651" s="221" t="s">
        <v>1329</v>
      </c>
      <c r="J651" s="18"/>
    </row>
    <row r="652" spans="2:11">
      <c r="B652" s="18" t="s">
        <v>32</v>
      </c>
      <c r="C652" s="221" t="s">
        <v>39</v>
      </c>
      <c r="D652" s="18" t="s">
        <v>32</v>
      </c>
      <c r="E652" t="s">
        <v>35</v>
      </c>
      <c r="F652" s="18" t="s">
        <v>32</v>
      </c>
      <c r="G652" s="221" t="s">
        <v>17</v>
      </c>
      <c r="H652" s="18" t="s">
        <v>32</v>
      </c>
      <c r="I652" s="221" t="s">
        <v>738</v>
      </c>
      <c r="J652" s="18"/>
      <c r="K652" s="221"/>
    </row>
    <row r="653" spans="2:11">
      <c r="B653" s="18"/>
      <c r="C653" s="221" t="s">
        <v>1103</v>
      </c>
      <c r="E653" t="s">
        <v>1127</v>
      </c>
      <c r="F653" s="18"/>
      <c r="G653" s="221" t="s">
        <v>1163</v>
      </c>
      <c r="H653" s="18"/>
      <c r="I653" s="221" t="s">
        <v>1338</v>
      </c>
      <c r="J653" s="18"/>
    </row>
    <row r="654" spans="2:11">
      <c r="B654" s="18" t="s">
        <v>34</v>
      </c>
      <c r="C654" s="221" t="s">
        <v>21</v>
      </c>
      <c r="D654" s="18" t="s">
        <v>34</v>
      </c>
      <c r="E654" t="s">
        <v>27</v>
      </c>
      <c r="F654" s="18" t="s">
        <v>34</v>
      </c>
      <c r="G654" s="221" t="s">
        <v>158</v>
      </c>
      <c r="H654" s="18" t="s">
        <v>34</v>
      </c>
      <c r="I654" t="s">
        <v>39</v>
      </c>
      <c r="J654" s="18"/>
      <c r="K654" s="221"/>
    </row>
    <row r="655" spans="2:11">
      <c r="B655" s="18"/>
      <c r="C655" s="221" t="s">
        <v>1096</v>
      </c>
      <c r="D655" s="18"/>
      <c r="E655" t="s">
        <v>1128</v>
      </c>
      <c r="F655" s="18"/>
      <c r="G655" s="221" t="s">
        <v>1164</v>
      </c>
      <c r="H655" s="18"/>
      <c r="I655" s="221" t="s">
        <v>1239</v>
      </c>
      <c r="J655" s="18"/>
    </row>
    <row r="656" spans="2:11">
      <c r="B656" s="18" t="s">
        <v>36</v>
      </c>
      <c r="C656" s="221" t="s">
        <v>19</v>
      </c>
      <c r="D656" s="18" t="s">
        <v>36</v>
      </c>
      <c r="E656" t="s">
        <v>17</v>
      </c>
      <c r="F656" s="18" t="s">
        <v>36</v>
      </c>
      <c r="G656" s="221" t="s">
        <v>6</v>
      </c>
      <c r="H656" s="18" t="s">
        <v>36</v>
      </c>
      <c r="I656" s="221" t="s">
        <v>769</v>
      </c>
      <c r="J656" s="18"/>
      <c r="K656" s="221"/>
    </row>
    <row r="657" spans="2:11">
      <c r="B657" s="18"/>
      <c r="C657" s="221" t="s">
        <v>1104</v>
      </c>
      <c r="D657" s="18"/>
      <c r="E657" t="s">
        <v>1130</v>
      </c>
      <c r="F657" s="18"/>
      <c r="G657" s="221" t="s">
        <v>1165</v>
      </c>
      <c r="H657" s="18"/>
      <c r="I657" s="221" t="s">
        <v>1176</v>
      </c>
      <c r="J657" s="18"/>
    </row>
    <row r="658" spans="2:11">
      <c r="B658" s="18" t="s">
        <v>38</v>
      </c>
      <c r="C658" s="221" t="s">
        <v>13</v>
      </c>
      <c r="D658" s="18" t="s">
        <v>38</v>
      </c>
      <c r="E658" t="s">
        <v>25</v>
      </c>
      <c r="F658" s="18" t="s">
        <v>38</v>
      </c>
      <c r="G658" s="221" t="s">
        <v>155</v>
      </c>
      <c r="H658" s="18" t="s">
        <v>38</v>
      </c>
      <c r="I658" s="221" t="s">
        <v>764</v>
      </c>
      <c r="J658" s="18"/>
      <c r="K658" s="221"/>
    </row>
    <row r="659" spans="2:11">
      <c r="B659" s="18"/>
      <c r="C659" s="221" t="s">
        <v>1097</v>
      </c>
      <c r="E659" t="s">
        <v>1131</v>
      </c>
      <c r="G659" s="221" t="s">
        <v>1166</v>
      </c>
      <c r="I659" s="221" t="s">
        <v>1176</v>
      </c>
    </row>
    <row r="660" spans="2:11">
      <c r="B660" s="18"/>
      <c r="C660" s="221"/>
      <c r="D660" s="18" t="s">
        <v>145</v>
      </c>
      <c r="E660" t="s">
        <v>142</v>
      </c>
      <c r="F660" s="18" t="s">
        <v>145</v>
      </c>
      <c r="G660" s="221" t="s">
        <v>1</v>
      </c>
      <c r="H660" s="18" t="s">
        <v>145</v>
      </c>
      <c r="I660" s="221" t="s">
        <v>733</v>
      </c>
      <c r="J660" s="18"/>
      <c r="K660" s="221"/>
    </row>
    <row r="661" spans="2:11">
      <c r="B661" s="128" t="s">
        <v>40</v>
      </c>
      <c r="C661" s="126" t="s">
        <v>1106</v>
      </c>
      <c r="D661" s="18"/>
      <c r="E661" t="s">
        <v>1132</v>
      </c>
      <c r="F661" s="18"/>
      <c r="G661" s="221" t="s">
        <v>1167</v>
      </c>
      <c r="H661" s="18"/>
      <c r="I661" s="221" t="s">
        <v>1241</v>
      </c>
      <c r="J661" s="18"/>
    </row>
    <row r="662" spans="2:11">
      <c r="D662" s="18" t="s">
        <v>146</v>
      </c>
      <c r="E662" t="s">
        <v>37</v>
      </c>
      <c r="F662" s="18" t="s">
        <v>146</v>
      </c>
      <c r="G662" t="s">
        <v>35</v>
      </c>
      <c r="H662" s="18" t="s">
        <v>146</v>
      </c>
      <c r="I662" s="221" t="s">
        <v>37</v>
      </c>
      <c r="J662" s="18"/>
      <c r="K662" s="221"/>
    </row>
    <row r="663" spans="2:11">
      <c r="D663" s="18"/>
      <c r="E663" t="s">
        <v>1133</v>
      </c>
      <c r="F663" s="18"/>
      <c r="G663" s="221" t="s">
        <v>1168</v>
      </c>
      <c r="H663" s="18"/>
      <c r="I663" s="221" t="s">
        <v>1242</v>
      </c>
      <c r="J663" s="18"/>
    </row>
    <row r="664" spans="2:11">
      <c r="D664" s="18" t="s">
        <v>147</v>
      </c>
      <c r="E664" t="s">
        <v>39</v>
      </c>
      <c r="F664" s="18" t="s">
        <v>147</v>
      </c>
      <c r="G664" s="221" t="s">
        <v>13</v>
      </c>
      <c r="H664" s="18" t="s">
        <v>147</v>
      </c>
      <c r="I664" s="221" t="s">
        <v>156</v>
      </c>
      <c r="J664" s="18"/>
      <c r="K664" s="221"/>
    </row>
    <row r="665" spans="2:11">
      <c r="E665" t="s">
        <v>1134</v>
      </c>
      <c r="G665" s="221" t="s">
        <v>1169</v>
      </c>
      <c r="I665" s="221" t="s">
        <v>1285</v>
      </c>
    </row>
    <row r="666" spans="2:11">
      <c r="F666" s="18" t="s">
        <v>151</v>
      </c>
      <c r="G666" s="221" t="s">
        <v>23</v>
      </c>
      <c r="H666" s="18" t="s">
        <v>151</v>
      </c>
      <c r="I666" s="221" t="s">
        <v>9</v>
      </c>
      <c r="J666" s="18"/>
      <c r="K666" s="221"/>
    </row>
    <row r="667" spans="2:11">
      <c r="D667" s="128" t="s">
        <v>40</v>
      </c>
      <c r="E667" s="51" t="s">
        <v>1135</v>
      </c>
      <c r="F667" s="18"/>
      <c r="G667" s="221" t="s">
        <v>1170</v>
      </c>
      <c r="H667" s="18"/>
      <c r="I667" s="221" t="s">
        <v>1335</v>
      </c>
      <c r="J667" s="18"/>
    </row>
    <row r="668" spans="2:11">
      <c r="F668" s="18" t="s">
        <v>157</v>
      </c>
      <c r="G668" s="221" t="s">
        <v>164</v>
      </c>
      <c r="H668" s="18" t="s">
        <v>157</v>
      </c>
      <c r="I668" t="s">
        <v>728</v>
      </c>
      <c r="J668" s="18"/>
      <c r="K668" s="221"/>
    </row>
    <row r="669" spans="2:11">
      <c r="F669" s="18"/>
      <c r="G669" s="221" t="s">
        <v>1171</v>
      </c>
      <c r="H669" s="18"/>
      <c r="I669" s="221" t="s">
        <v>1335</v>
      </c>
      <c r="J669" s="18"/>
    </row>
    <row r="670" spans="2:11">
      <c r="F670" s="18" t="s">
        <v>159</v>
      </c>
      <c r="G670" s="221" t="s">
        <v>4</v>
      </c>
      <c r="H670" s="18" t="s">
        <v>159</v>
      </c>
      <c r="I670" t="s">
        <v>35</v>
      </c>
      <c r="J670" s="18"/>
      <c r="K670" s="221"/>
    </row>
    <row r="671" spans="2:11">
      <c r="F671" s="18"/>
      <c r="G671" s="221" t="s">
        <v>1172</v>
      </c>
      <c r="H671" s="18"/>
      <c r="I671" s="221" t="s">
        <v>1244</v>
      </c>
      <c r="J671" s="18"/>
    </row>
    <row r="672" spans="2:11">
      <c r="F672" s="18" t="s">
        <v>160</v>
      </c>
      <c r="G672" s="221" t="s">
        <v>15</v>
      </c>
      <c r="H672" s="18" t="s">
        <v>160</v>
      </c>
      <c r="I672" s="221" t="s">
        <v>158</v>
      </c>
      <c r="J672" s="18"/>
    </row>
    <row r="673" spans="6:11">
      <c r="F673" s="18"/>
      <c r="G673" s="221" t="s">
        <v>1173</v>
      </c>
      <c r="H673" s="18"/>
      <c r="I673" s="221" t="s">
        <v>1328</v>
      </c>
      <c r="J673" s="18"/>
    </row>
    <row r="674" spans="6:11">
      <c r="F674" s="18" t="s">
        <v>147</v>
      </c>
      <c r="G674" t="s">
        <v>39</v>
      </c>
      <c r="H674" s="18" t="s">
        <v>161</v>
      </c>
      <c r="I674" s="221" t="s">
        <v>23</v>
      </c>
      <c r="J674" s="18"/>
      <c r="K674" s="221"/>
    </row>
    <row r="675" spans="6:11">
      <c r="F675" s="18"/>
      <c r="G675" s="221" t="s">
        <v>1173</v>
      </c>
      <c r="H675" s="18"/>
      <c r="I675" s="221" t="s">
        <v>1240</v>
      </c>
      <c r="J675" s="18"/>
    </row>
    <row r="676" spans="6:11">
      <c r="F676" s="18" t="s">
        <v>163</v>
      </c>
      <c r="G676" s="221" t="s">
        <v>144</v>
      </c>
      <c r="H676" s="18" t="s">
        <v>163</v>
      </c>
      <c r="I676" s="221" t="s">
        <v>753</v>
      </c>
      <c r="J676" s="18"/>
      <c r="K676" s="221"/>
    </row>
    <row r="677" spans="6:11">
      <c r="G677" s="221" t="s">
        <v>1174</v>
      </c>
      <c r="H677" s="18"/>
      <c r="I677" s="221" t="s">
        <v>1240</v>
      </c>
      <c r="J677" s="18"/>
    </row>
    <row r="678" spans="6:11">
      <c r="G678" s="221"/>
      <c r="H678" s="18" t="s">
        <v>275</v>
      </c>
      <c r="I678" s="221" t="s">
        <v>749</v>
      </c>
      <c r="J678" s="18"/>
      <c r="K678" s="221"/>
    </row>
    <row r="679" spans="6:11">
      <c r="F679" s="128" t="s">
        <v>40</v>
      </c>
      <c r="G679" s="51" t="s">
        <v>1175</v>
      </c>
      <c r="H679" s="18"/>
      <c r="I679" s="221" t="s">
        <v>1226</v>
      </c>
      <c r="J679" s="18"/>
    </row>
    <row r="680" spans="6:11">
      <c r="H680" s="18" t="s">
        <v>276</v>
      </c>
      <c r="I680" s="221" t="s">
        <v>757</v>
      </c>
      <c r="J680" s="18"/>
      <c r="K680" s="221"/>
    </row>
    <row r="681" spans="6:11">
      <c r="H681" s="18"/>
      <c r="I681" s="221" t="s">
        <v>1226</v>
      </c>
      <c r="J681" s="18"/>
    </row>
    <row r="682" spans="6:11">
      <c r="H682" s="18" t="s">
        <v>277</v>
      </c>
      <c r="I682" t="s">
        <v>19</v>
      </c>
      <c r="J682" s="18"/>
      <c r="K682" s="221"/>
    </row>
    <row r="683" spans="6:11">
      <c r="H683" s="18"/>
      <c r="I683" s="221" t="s">
        <v>1225</v>
      </c>
      <c r="J683" s="18"/>
    </row>
    <row r="684" spans="6:11">
      <c r="H684" s="18" t="s">
        <v>278</v>
      </c>
      <c r="I684" s="221" t="s">
        <v>142</v>
      </c>
      <c r="J684" s="18"/>
      <c r="K684" s="221"/>
    </row>
    <row r="685" spans="6:11">
      <c r="H685" s="18"/>
      <c r="I685" s="221" t="s">
        <v>1311</v>
      </c>
      <c r="J685" s="18"/>
    </row>
    <row r="686" spans="6:11">
      <c r="H686" s="18" t="s">
        <v>735</v>
      </c>
      <c r="I686" s="221" t="s">
        <v>783</v>
      </c>
      <c r="J686" s="18"/>
      <c r="K686" s="221"/>
    </row>
    <row r="687" spans="6:11">
      <c r="H687" s="18"/>
      <c r="I687" s="221" t="s">
        <v>1291</v>
      </c>
      <c r="J687" s="18"/>
    </row>
    <row r="688" spans="6:11">
      <c r="H688" s="18" t="s">
        <v>736</v>
      </c>
      <c r="I688" s="221" t="s">
        <v>13</v>
      </c>
      <c r="J688" s="18"/>
      <c r="K688" s="221"/>
    </row>
    <row r="689" spans="8:11">
      <c r="H689" s="18"/>
      <c r="I689" s="221" t="s">
        <v>1279</v>
      </c>
      <c r="J689" s="18"/>
    </row>
    <row r="690" spans="8:11">
      <c r="H690" s="18" t="s">
        <v>737</v>
      </c>
      <c r="I690" t="s">
        <v>763</v>
      </c>
      <c r="J690" s="18"/>
      <c r="K690" s="221"/>
    </row>
    <row r="691" spans="8:11">
      <c r="H691" s="18"/>
      <c r="I691" s="221" t="s">
        <v>1279</v>
      </c>
      <c r="J691" s="18"/>
    </row>
    <row r="692" spans="8:11">
      <c r="H692" s="18" t="s">
        <v>739</v>
      </c>
      <c r="I692" s="221" t="s">
        <v>4</v>
      </c>
      <c r="J692" s="18"/>
      <c r="K692" s="221"/>
    </row>
    <row r="693" spans="8:11">
      <c r="H693" s="18"/>
      <c r="I693" s="221" t="s">
        <v>1320</v>
      </c>
      <c r="J693" s="18"/>
    </row>
    <row r="694" spans="8:11">
      <c r="H694" s="18" t="s">
        <v>745</v>
      </c>
      <c r="I694" s="221" t="s">
        <v>27</v>
      </c>
      <c r="J694" s="18"/>
      <c r="K694" s="221"/>
    </row>
    <row r="695" spans="8:11">
      <c r="H695" s="18"/>
      <c r="I695" s="221" t="s">
        <v>1316</v>
      </c>
      <c r="J695" s="18"/>
    </row>
    <row r="696" spans="8:11">
      <c r="H696" s="18" t="s">
        <v>747</v>
      </c>
      <c r="I696" s="221" t="s">
        <v>800</v>
      </c>
      <c r="J696" s="18"/>
    </row>
    <row r="697" spans="8:11">
      <c r="H697" s="18"/>
      <c r="I697" s="221" t="s">
        <v>1312</v>
      </c>
      <c r="J697" s="18"/>
    </row>
    <row r="698" spans="8:11">
      <c r="H698" s="18" t="s">
        <v>750</v>
      </c>
      <c r="I698" s="221" t="s">
        <v>774</v>
      </c>
      <c r="J698" s="18"/>
      <c r="K698" s="221"/>
    </row>
    <row r="699" spans="8:11">
      <c r="H699" s="18"/>
      <c r="I699" s="221" t="s">
        <v>1336</v>
      </c>
      <c r="J699" s="18"/>
    </row>
    <row r="700" spans="8:11">
      <c r="H700" s="18" t="s">
        <v>751</v>
      </c>
      <c r="I700" s="221" t="s">
        <v>788</v>
      </c>
      <c r="J700" s="18"/>
      <c r="K700" s="221"/>
    </row>
    <row r="701" spans="8:11">
      <c r="H701" s="18"/>
      <c r="I701" s="221" t="s">
        <v>1224</v>
      </c>
      <c r="J701" s="18"/>
    </row>
    <row r="702" spans="8:11">
      <c r="H702" s="18" t="s">
        <v>754</v>
      </c>
      <c r="I702" s="221" t="s">
        <v>748</v>
      </c>
      <c r="J702" s="18"/>
      <c r="K702" s="221"/>
    </row>
    <row r="703" spans="8:11">
      <c r="H703" s="18"/>
      <c r="I703" s="221" t="s">
        <v>1337</v>
      </c>
      <c r="J703" s="18"/>
    </row>
    <row r="704" spans="8:11">
      <c r="H704" s="18" t="s">
        <v>756</v>
      </c>
      <c r="I704" s="221" t="s">
        <v>771</v>
      </c>
      <c r="J704" s="18"/>
      <c r="K704" s="221"/>
    </row>
    <row r="705" spans="8:10">
      <c r="H705" s="18"/>
      <c r="I705" s="221" t="s">
        <v>1223</v>
      </c>
      <c r="J705" s="18"/>
    </row>
    <row r="706" spans="8:10">
      <c r="H706" s="18" t="s">
        <v>761</v>
      </c>
      <c r="I706" s="221" t="s">
        <v>746</v>
      </c>
      <c r="J706" s="18"/>
    </row>
    <row r="707" spans="8:10">
      <c r="H707" s="18"/>
      <c r="I707" s="221" t="s">
        <v>1313</v>
      </c>
      <c r="J707" s="18"/>
    </row>
    <row r="708" spans="8:10">
      <c r="H708" s="18" t="s">
        <v>765</v>
      </c>
      <c r="I708" s="221" t="s">
        <v>782</v>
      </c>
      <c r="J708" s="18"/>
    </row>
    <row r="709" spans="8:10">
      <c r="H709" s="18"/>
      <c r="I709" s="221" t="s">
        <v>1243</v>
      </c>
      <c r="J709" s="18"/>
    </row>
    <row r="710" spans="8:10">
      <c r="H710" s="18" t="s">
        <v>766</v>
      </c>
      <c r="I710" s="221" t="s">
        <v>15</v>
      </c>
      <c r="J710" s="18"/>
    </row>
    <row r="711" spans="8:10">
      <c r="H711" s="18"/>
      <c r="I711" s="221" t="s">
        <v>1177</v>
      </c>
      <c r="J711" s="18"/>
    </row>
    <row r="712" spans="8:10">
      <c r="H712" s="18" t="s">
        <v>767</v>
      </c>
      <c r="I712" s="221" t="s">
        <v>162</v>
      </c>
      <c r="J712" s="18"/>
    </row>
    <row r="713" spans="8:10">
      <c r="H713" s="18"/>
      <c r="I713" s="221" t="s">
        <v>1177</v>
      </c>
      <c r="J713" s="18"/>
    </row>
    <row r="714" spans="8:10">
      <c r="H714" s="18" t="s">
        <v>773</v>
      </c>
      <c r="I714" s="221" t="s">
        <v>25</v>
      </c>
      <c r="J714" s="18"/>
    </row>
    <row r="715" spans="8:10">
      <c r="H715" s="18"/>
      <c r="I715" s="221" t="s">
        <v>1177</v>
      </c>
      <c r="J715" s="18"/>
    </row>
    <row r="716" spans="8:10">
      <c r="H716" s="18" t="s">
        <v>781</v>
      </c>
      <c r="I716" s="221" t="s">
        <v>755</v>
      </c>
      <c r="J716" s="18"/>
    </row>
    <row r="717" spans="8:10">
      <c r="H717" s="18"/>
      <c r="I717" s="221" t="s">
        <v>1177</v>
      </c>
      <c r="J717" s="18"/>
    </row>
    <row r="718" spans="8:10">
      <c r="H718" s="18" t="s">
        <v>785</v>
      </c>
      <c r="I718" s="221" t="s">
        <v>6</v>
      </c>
      <c r="J718" s="18"/>
    </row>
    <row r="719" spans="8:10">
      <c r="H719" s="18"/>
      <c r="I719" s="221" t="s">
        <v>1178</v>
      </c>
      <c r="J719" s="18"/>
    </row>
    <row r="720" spans="8:10">
      <c r="H720" s="18" t="s">
        <v>786</v>
      </c>
      <c r="I720" s="221" t="s">
        <v>155</v>
      </c>
      <c r="J720" s="18"/>
    </row>
    <row r="721" spans="8:10">
      <c r="H721" s="18"/>
      <c r="I721" s="221" t="s">
        <v>1178</v>
      </c>
      <c r="J721" s="18"/>
    </row>
    <row r="722" spans="8:10">
      <c r="H722" s="18" t="s">
        <v>787</v>
      </c>
      <c r="I722" s="221" t="s">
        <v>784</v>
      </c>
      <c r="J722" s="18"/>
    </row>
    <row r="723" spans="8:10">
      <c r="H723" s="18"/>
      <c r="I723" s="221" t="s">
        <v>1227</v>
      </c>
      <c r="J723" s="18"/>
    </row>
    <row r="724" spans="8:10">
      <c r="H724" s="18" t="s">
        <v>793</v>
      </c>
      <c r="I724" s="221" t="s">
        <v>144</v>
      </c>
      <c r="J724" s="18"/>
    </row>
    <row r="725" spans="8:10">
      <c r="I725" s="221" t="s">
        <v>1227</v>
      </c>
    </row>
    <row r="726" spans="8:10">
      <c r="J726" s="18"/>
    </row>
    <row r="727" spans="8:10">
      <c r="H727" s="128" t="s">
        <v>40</v>
      </c>
      <c r="I727" s="51" t="s">
        <v>1341</v>
      </c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1" spans="10:11">
      <c r="J761" s="128" t="s">
        <v>40</v>
      </c>
      <c r="K761" s="227" t="s">
        <v>1841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2023-04-05T07:18:30Z</dcterms:modified>
</cp:coreProperties>
</file>